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575DD2DA-C2F8-40E2-85FD-CE74B7F9DE9A}" xr6:coauthVersionLast="47" xr6:coauthVersionMax="47" xr10:uidLastSave="{00000000-0000-0000-0000-000000000000}"/>
  <bookViews>
    <workbookView xWindow="16815" yWindow="2370" windowWidth="27825" windowHeight="15705" tabRatio="732" xr2:uid="{00000000-000D-0000-FFFF-FFFF00000000}"/>
  </bookViews>
  <sheets>
    <sheet name="START HERE" sheetId="1" r:id="rId1"/>
    <sheet name="PRICING INPUTS" sheetId="2" r:id="rId2"/>
    <sheet name="CURRENT ECONOMICS" sheetId="3" r:id="rId3"/>
    <sheet name="TARGET PRICE" sheetId="4" r:id="rId4"/>
    <sheet name="SCENARIO ANALYSIS" sheetId="5" r:id="rId5"/>
    <sheet name="PRODUCT &amp; SERVICE MIX" sheetId="6" r:id="rId6"/>
    <sheet name="EXECUTIVE DASHBOARD" sheetId="7" r:id="rId7"/>
  </sheets>
  <definedNames>
    <definedName name="Complete">'PRICING INPUTS'!$H$12</definedName>
    <definedName name="CoreOK">'PRICING INPUTS'!$H$13</definedName>
    <definedName name="FixedTotal">'PRICING INPUTS'!$C$37</definedName>
    <definedName name="MaxCap">'PRICING INPUTS'!$C$46</definedName>
    <definedName name="MinPrice">'PRICING INPUTS'!$C$45</definedName>
    <definedName name="OkFixed">'PRICING INPUTS'!$H$11</definedName>
    <definedName name="OkPrice">'PRICING INPUTS'!$H$8</definedName>
    <definedName name="OkUnits">'PRICING INPUTS'!$H$9</definedName>
    <definedName name="OkVar">'PRICING INPUTS'!$H$10</definedName>
    <definedName name="Price">'PRICING INPUTS'!$C$11</definedName>
    <definedName name="_xlnm.Print_Area" localSheetId="2">'CURRENT ECONOMICS'!$A$1:$F$41</definedName>
    <definedName name="_xlnm.Print_Area" localSheetId="6">'EXECUTIVE DASHBOARD'!$A$1:$V$63</definedName>
    <definedName name="_xlnm.Print_Area" localSheetId="1">'PRICING INPUTS'!$A$1:$F$52</definedName>
    <definedName name="_xlnm.Print_Area" localSheetId="5">'PRODUCT &amp; SERVICE MIX'!$A$1:$L$27</definedName>
    <definedName name="_xlnm.Print_Area" localSheetId="4">'SCENARIO ANALYSIS'!$A$1:$N$44</definedName>
    <definedName name="_xlnm.Print_Area" localSheetId="0">'START HERE'!$A$1:$D$61</definedName>
    <definedName name="_xlnm.Print_Area" localSheetId="3">'TARGET PRICE'!$A$1:$F$44</definedName>
    <definedName name="TgtCM">'PRICING INPUTS'!$C$42</definedName>
    <definedName name="TgtGM">'PRICING INPUTS'!$C$43</definedName>
    <definedName name="TgtOC">'PRICING INPUTS'!$C$44</definedName>
    <definedName name="Units">'PRICING INPUTS'!$C$12</definedName>
    <definedName name="VarUnit">'PRICING INPUTS'!$C$24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Q12" i="7" l="1"/>
  <c r="L12" i="7"/>
  <c r="G12" i="7"/>
  <c r="B12" i="7"/>
  <c r="L8" i="7"/>
  <c r="G8" i="7"/>
  <c r="B8" i="7"/>
  <c r="G16" i="6"/>
  <c r="E16" i="6"/>
  <c r="C16" i="6"/>
  <c r="R15" i="6"/>
  <c r="K15" i="6"/>
  <c r="J15" i="6"/>
  <c r="I15" i="6"/>
  <c r="H15" i="6"/>
  <c r="G15" i="6"/>
  <c r="F15" i="6"/>
  <c r="R14" i="6"/>
  <c r="G14" i="6"/>
  <c r="F14" i="6"/>
  <c r="R13" i="6"/>
  <c r="G13" i="6"/>
  <c r="F13" i="6"/>
  <c r="R12" i="6"/>
  <c r="G12" i="6"/>
  <c r="F12" i="6"/>
  <c r="R11" i="6"/>
  <c r="F11" i="6" s="1"/>
  <c r="G11" i="6"/>
  <c r="S10" i="6"/>
  <c r="R10" i="6"/>
  <c r="G10" i="6"/>
  <c r="F10" i="6"/>
  <c r="S9" i="6"/>
  <c r="F15" i="5"/>
  <c r="G15" i="5" s="1"/>
  <c r="D15" i="5"/>
  <c r="C15" i="5"/>
  <c r="P13" i="5"/>
  <c r="P12" i="5"/>
  <c r="P11" i="5"/>
  <c r="P10" i="5"/>
  <c r="P9" i="5"/>
  <c r="P8" i="5"/>
  <c r="C39" i="4"/>
  <c r="C29" i="4"/>
  <c r="C11" i="4"/>
  <c r="C9" i="4"/>
  <c r="C37" i="2"/>
  <c r="C24" i="2"/>
  <c r="H13" i="2"/>
  <c r="H12" i="2"/>
  <c r="H11" i="2"/>
  <c r="H10" i="2"/>
  <c r="H9" i="2"/>
  <c r="H8" i="2"/>
  <c r="H14" i="6" l="1"/>
  <c r="I14" i="6"/>
  <c r="I13" i="6"/>
  <c r="H13" i="6"/>
  <c r="H12" i="6"/>
  <c r="I12" i="6"/>
  <c r="I11" i="6"/>
  <c r="H11" i="6"/>
  <c r="H10" i="6"/>
  <c r="I10" i="6"/>
  <c r="T11" i="6"/>
  <c r="P11" i="6"/>
  <c r="O11" i="6"/>
  <c r="B32" i="7"/>
  <c r="B17" i="6"/>
  <c r="I16" i="6"/>
  <c r="N13" i="6"/>
  <c r="D16" i="6"/>
  <c r="U15" i="6"/>
  <c r="T15" i="6"/>
  <c r="P15" i="6"/>
  <c r="O15" i="6"/>
  <c r="N15" i="6"/>
  <c r="U14" i="6"/>
  <c r="T14" i="6"/>
  <c r="P14" i="6"/>
  <c r="O14" i="6"/>
  <c r="N14" i="6"/>
  <c r="N11" i="6"/>
  <c r="O10" i="6"/>
  <c r="P10" i="6"/>
  <c r="F16" i="6"/>
  <c r="H16" i="6" s="1"/>
  <c r="G22" i="6"/>
  <c r="C22" i="6"/>
  <c r="C57" i="7" s="1"/>
  <c r="C21" i="6"/>
  <c r="U13" i="6"/>
  <c r="T13" i="6"/>
  <c r="P13" i="6"/>
  <c r="O13" i="6"/>
  <c r="U11" i="6"/>
  <c r="U12" i="6"/>
  <c r="T12" i="6"/>
  <c r="P12" i="6"/>
  <c r="O12" i="6"/>
  <c r="N12" i="6"/>
  <c r="N10" i="6"/>
  <c r="U10" i="6"/>
  <c r="T10" i="6"/>
  <c r="H15" i="5"/>
  <c r="E15" i="5"/>
  <c r="C30" i="5"/>
  <c r="C36" i="3"/>
  <c r="C20" i="3"/>
  <c r="I10" i="3" s="1"/>
  <c r="C52" i="7"/>
  <c r="C51" i="7"/>
  <c r="C38" i="3"/>
  <c r="C23" i="3"/>
  <c r="B50" i="2"/>
  <c r="B8" i="5"/>
  <c r="C29" i="3"/>
  <c r="C28" i="3"/>
  <c r="C22" i="3"/>
  <c r="G11" i="7" s="1"/>
  <c r="K13" i="5"/>
  <c r="K15" i="5"/>
  <c r="C21" i="3"/>
  <c r="K12" i="5"/>
  <c r="K11" i="5"/>
  <c r="K10" i="5"/>
  <c r="C30" i="4"/>
  <c r="C31" i="4" s="1"/>
  <c r="C32" i="4" s="1"/>
  <c r="C37" i="3"/>
  <c r="K14" i="5"/>
  <c r="F14" i="5"/>
  <c r="F13" i="5"/>
  <c r="C12" i="4"/>
  <c r="C35" i="3"/>
  <c r="C39" i="5"/>
  <c r="F12" i="5"/>
  <c r="F11" i="5"/>
  <c r="F10" i="5"/>
  <c r="C40" i="5"/>
  <c r="B13" i="4"/>
  <c r="C10" i="4"/>
  <c r="C41" i="5"/>
  <c r="C19" i="3"/>
  <c r="I9" i="3" s="1"/>
  <c r="C10" i="3"/>
  <c r="G7" i="7" s="1"/>
  <c r="D14" i="5"/>
  <c r="D12" i="5"/>
  <c r="D13" i="5"/>
  <c r="D11" i="5"/>
  <c r="D10" i="5"/>
  <c r="C11" i="5"/>
  <c r="H14" i="2"/>
  <c r="E39" i="5"/>
  <c r="C28" i="5"/>
  <c r="C29" i="5" s="1"/>
  <c r="B35" i="5" s="1"/>
  <c r="C18" i="3"/>
  <c r="C10" i="5"/>
  <c r="C13" i="3"/>
  <c r="C11" i="3"/>
  <c r="C17" i="4"/>
  <c r="C9" i="3"/>
  <c r="B7" i="7" s="1"/>
  <c r="C13" i="5"/>
  <c r="E41" i="5"/>
  <c r="E40" i="5"/>
  <c r="C12" i="5"/>
  <c r="C14" i="5"/>
  <c r="C34" i="3"/>
  <c r="C12" i="3"/>
  <c r="K10" i="6" l="1"/>
  <c r="K11" i="6"/>
  <c r="K12" i="6"/>
  <c r="K13" i="6"/>
  <c r="K14" i="6"/>
  <c r="J10" i="6"/>
  <c r="J11" i="6"/>
  <c r="J12" i="6"/>
  <c r="J13" i="6"/>
  <c r="J14" i="6"/>
  <c r="I15" i="5"/>
  <c r="J15" i="5"/>
  <c r="L15" i="5" s="1"/>
  <c r="C30" i="3"/>
  <c r="L11" i="7"/>
  <c r="C34" i="4"/>
  <c r="C33" i="4"/>
  <c r="C41" i="4"/>
  <c r="C18" i="4"/>
  <c r="C19" i="4"/>
  <c r="C20" i="4"/>
  <c r="C21" i="4"/>
  <c r="C22" i="4" s="1"/>
  <c r="C23" i="4" s="1"/>
  <c r="C24" i="4" s="1"/>
  <c r="C40" i="4"/>
  <c r="Q11" i="7"/>
  <c r="E11" i="5"/>
  <c r="H11" i="5"/>
  <c r="G39" i="5"/>
  <c r="I39" i="5"/>
  <c r="K39" i="5" s="1"/>
  <c r="B11" i="7"/>
  <c r="I8" i="3"/>
  <c r="E10" i="5"/>
  <c r="H10" i="5"/>
  <c r="L7" i="7"/>
  <c r="Q8" i="7"/>
  <c r="E13" i="5"/>
  <c r="H13" i="5"/>
  <c r="G41" i="5"/>
  <c r="I41" i="5"/>
  <c r="K41" i="5" s="1"/>
  <c r="G40" i="5"/>
  <c r="I40" i="5"/>
  <c r="K40" i="5" s="1"/>
  <c r="E12" i="5"/>
  <c r="H12" i="5"/>
  <c r="E14" i="5"/>
  <c r="H14" i="5"/>
  <c r="G11" i="5"/>
  <c r="G14" i="5"/>
  <c r="G13" i="5"/>
  <c r="G12" i="5"/>
  <c r="G10" i="5"/>
  <c r="C31" i="5"/>
  <c r="G23" i="6"/>
  <c r="G24" i="6"/>
  <c r="C24" i="6"/>
  <c r="C23" i="6"/>
  <c r="C58" i="7" s="1"/>
  <c r="B31" i="3"/>
  <c r="C56" i="7"/>
  <c r="Q7" i="7"/>
  <c r="B59" i="7"/>
  <c r="G21" i="6" l="1"/>
  <c r="J16" i="6"/>
  <c r="M15" i="5"/>
  <c r="Q13" i="5"/>
  <c r="I11" i="5"/>
  <c r="J11" i="5"/>
  <c r="I10" i="5"/>
  <c r="J10" i="5"/>
  <c r="L10" i="5" s="1"/>
  <c r="I13" i="5"/>
  <c r="J13" i="5"/>
  <c r="L13" i="5" s="1"/>
  <c r="I12" i="5"/>
  <c r="J12" i="5"/>
  <c r="L12" i="5" s="1"/>
  <c r="I14" i="5"/>
  <c r="J14" i="5"/>
  <c r="C34" i="5"/>
  <c r="C32" i="5"/>
  <c r="C33" i="5" s="1"/>
  <c r="C55" i="7"/>
  <c r="K16" i="6"/>
  <c r="C53" i="7" l="1"/>
  <c r="L11" i="5"/>
  <c r="M10" i="5"/>
  <c r="Q8" i="5"/>
  <c r="M13" i="5"/>
  <c r="Q11" i="5"/>
  <c r="M12" i="5"/>
  <c r="Q10" i="5"/>
  <c r="C54" i="7"/>
  <c r="L14" i="5"/>
  <c r="M11" i="5" l="1"/>
  <c r="Q9" i="5"/>
  <c r="M14" i="5"/>
  <c r="Q12" i="5"/>
</calcChain>
</file>

<file path=xl/sharedStrings.xml><?xml version="1.0" encoding="utf-8"?>
<sst xmlns="http://schemas.openxmlformats.org/spreadsheetml/2006/main" count="416" uniqueCount="329">
  <si>
    <t>VERTEX STRATEGIC FINANCE</t>
  </si>
  <si>
    <t>Pricing &amp; Margin Calculator</t>
  </si>
  <si>
    <t>Understand what your pricing means for margin, profit and break-even performance.</t>
  </si>
  <si>
    <t>What This Tool Does</t>
  </si>
  <si>
    <t>This calculator helps owner-led businesses model the financial consequences of pricing decisions using their own figures. It is a planning tool, not a source of industry benchmarks or recommended prices.</t>
  </si>
  <si>
    <t>—    Understand current gross margin and contribution economics</t>
  </si>
  <si>
    <t>—    Calculate the price required to reach a target margin you set</t>
  </si>
  <si>
    <t>—    See how a price change affects contribution and profit</t>
  </si>
  <si>
    <t>—    See how a cost increase affects margin</t>
  </si>
  <si>
    <t>—    Estimate the volume needed to offset a price reduction</t>
  </si>
  <si>
    <t>—    Compare up to six products or services side by side</t>
  </si>
  <si>
    <t>—    Stress-test a pricing decision before implementing it</t>
  </si>
  <si>
    <t>How to Use It</t>
  </si>
  <si>
    <t>1.    Enter your current pricing and cost assumptions.    (PRICING INPUTS tab)</t>
  </si>
  <si>
    <t>2.    Review your current economics.    (CURRENT ECONOMICS tab)</t>
  </si>
  <si>
    <t>3.    Set your own target margin or target contribution.    (PRICING INPUTS tab)</t>
  </si>
  <si>
    <t>4.    See the price those targets would require.    (TARGET PRICE tab)</t>
  </si>
  <si>
    <t>5.    Test price, cost and volume scenarios.    (SCENARIO ANALYSIS tab)</t>
  </si>
  <si>
    <t>6.    Compare your products or services.    (PRODUCT &amp; SERVICE MIX tab)</t>
  </si>
  <si>
    <t>7.    Use the dashboard to interpret the results.    (EXECUTIVE DASHBOARD tab)</t>
  </si>
  <si>
    <t>Reading the Workbook</t>
  </si>
  <si>
    <t>Input</t>
  </si>
  <si>
    <t>Shaded cells are yours to change. Type over the example figures with your own.</t>
  </si>
  <si>
    <t>Formula</t>
  </si>
  <si>
    <t>Unshaded cells calculate automatically. Sheets are protected without a password — use Review › Unprotect Sheet if you need to edit them.</t>
  </si>
  <si>
    <t>Incomplete Inputs</t>
  </si>
  <si>
    <t>A figure the calculation needs has not been entered. A blank cell means not entered; it is never treated as zero. Enter 0 where the real answer is zero.</t>
  </si>
  <si>
    <t>N/M</t>
  </si>
  <si>
    <t>Not meaningful — the figures entered leave the measure undefined, such as a margin on a price of zero.</t>
  </si>
  <si>
    <t>Set Target</t>
  </si>
  <si>
    <t>The planning target this calculation needs has not been entered yet.</t>
  </si>
  <si>
    <t>Set Price Reduction</t>
  </si>
  <si>
    <t>The price reduction the volume-offset calculation needs has not been entered yet. A blank cell is not read as a 0% reduction.</t>
  </si>
  <si>
    <t>Incomplete</t>
  </si>
  <si>
    <t>A product or service row has some figures entered but not all of them. Totals, shares, rankings and the mix chart are withheld until the row is completed or cleared.</t>
  </si>
  <si>
    <t>This tool does not provide industry benchmarks or recommended pricing. Targets and assumptions are entered by the user.</t>
  </si>
  <si>
    <t>Gross margin and contribution margin are not the same as net profit. This tool focuses on pricing economics and should be used alongside broader business financial analysis.</t>
  </si>
  <si>
    <t>Definitions</t>
  </si>
  <si>
    <t>Term</t>
  </si>
  <si>
    <t>What it means</t>
  </si>
  <si>
    <t>Revenue</t>
  </si>
  <si>
    <t>Selling price multiplied by units sold. Revenue is not cash — it does not tell you when the money arrives in the bank.</t>
  </si>
  <si>
    <t>Variable Cost</t>
  </si>
  <si>
    <t>A cost that changes with the number of units sold or services delivered. Include labour or contractor cost here only if it behaves that way in your business.</t>
  </si>
  <si>
    <t>Contribution per Unit</t>
  </si>
  <si>
    <t>Selling price less variable cost per unit. What each additional unit contributes toward fixed costs and profit.</t>
  </si>
  <si>
    <t>Contribution Margin %</t>
  </si>
  <si>
    <t>Contribution per unit divided by selling price. This is the primary margin measure used throughout this workbook.</t>
  </si>
  <si>
    <t>Gross Margin</t>
  </si>
  <si>
    <t>Revenue less cost of sales, as a percentage of revenue. In this workbook it is calculated on the same per-unit costs you enter, so it equals contribution margin here. In your accounting system the two can differ, because some costs classified as cost of sales do not vary with volume, and some variable costs sit below the gross profit line.</t>
  </si>
  <si>
    <t>Fixed Costs</t>
  </si>
  <si>
    <t>Costs that generally do not change directly with short-term sales volume, such as rent, insurance and fixed payroll.</t>
  </si>
  <si>
    <t>Break-even Units</t>
  </si>
  <si>
    <t>The estimated number of units required for total contribution to cover the fixed costs entered in this calculator. Calculated only when contribution per unit is above zero.</t>
  </si>
  <si>
    <t>Break-even Revenue</t>
  </si>
  <si>
    <t>Break-even units multiplied by the current selling price.</t>
  </si>
  <si>
    <t>Estimated Operating Contribution</t>
  </si>
  <si>
    <t>Contribution less the fixed costs entered here. A planning measure only — it may differ from accounting operating profit or net income, which include items this calculator does not capture.</t>
  </si>
  <si>
    <t>Owner Draws</t>
  </si>
  <si>
    <t>Amounts the owner takes out of the business. These are a distribution, not an operating cost, and are deliberately not part of any calculation here.</t>
  </si>
  <si>
    <t>The workbook contains fictional example data for demonstration purposes only. Replace the example inputs with your own information.</t>
  </si>
  <si>
    <t>Important.  This resource is provided for general informational and planning purposes only and does not constitute accounting, tax, legal, investment or financial advice. Pricing decisions depend on your market, capacity, contracts and strategy, and no single price is objectively correct. Nothing here is a professional opinion on the financial condition or performance of any business.</t>
  </si>
  <si>
    <t>Vertex Strategic Finance</t>
  </si>
  <si>
    <t>CPA-Led Accounting &amp; Advisory for Owner-Led Businesses</t>
  </si>
  <si>
    <t>www.vertexstrategicfinance.ca    |    info@vertexstrategicfinance.ca</t>
  </si>
  <si>
    <t>Pricing Inputs</t>
  </si>
  <si>
    <t>FICTIONAL EXAMPLE DATA — FOR DEMONSTRATION ONLY</t>
  </si>
  <si>
    <t>Everything in this workbook is calculated from the figures on this tab.</t>
  </si>
  <si>
    <t>Shaded cells are yours to fill in. Enter 0 for any required cost line that does not apply to your business; leave a required cell blank only if the figure has not yet been entered. A blank is treated as information missing, never as zero.</t>
  </si>
  <si>
    <t>BUSINESS AND OFFER DETAILS</t>
  </si>
  <si>
    <t>Completeness flags — used by the other tabs.</t>
  </si>
  <si>
    <t>Item</t>
  </si>
  <si>
    <t>Value</t>
  </si>
  <si>
    <t>Notes</t>
  </si>
  <si>
    <t>price entered</t>
  </si>
  <si>
    <t>Business Name</t>
  </si>
  <si>
    <t>Northbridge Advisory</t>
  </si>
  <si>
    <t>Optional. Appears nowhere else in the calculations.</t>
  </si>
  <si>
    <t>units entered</t>
  </si>
  <si>
    <t>Product / Service Name</t>
  </si>
  <si>
    <t>Monthly Service Package</t>
  </si>
  <si>
    <t>The single offer this workbook models. Other offers go on the PRODUCT &amp; SERVICE MIX tab.</t>
  </si>
  <si>
    <t>variable costs</t>
  </si>
  <si>
    <t>Current Selling Price per Unit</t>
  </si>
  <si>
    <t>Required. The price one customer pays for one unit of this offer.</t>
  </si>
  <si>
    <t>fixed costs</t>
  </si>
  <si>
    <t>Expected Units Sold per Month</t>
  </si>
  <si>
    <t>Required. Units, engagements, jobs or clients per month — whatever you sell one of.</t>
  </si>
  <si>
    <t>COMPLETE</t>
  </si>
  <si>
    <t>CORE OK</t>
  </si>
  <si>
    <t>DIRECT VARIABLE COSTS PER UNIT</t>
  </si>
  <si>
    <t>blanks remaining</t>
  </si>
  <si>
    <t>Materials / Supplies</t>
  </si>
  <si>
    <t>Consumables used to deliver one unit.  Required — enter 0 if it does not apply.</t>
  </si>
  <si>
    <t>Direct Labour</t>
  </si>
  <si>
    <t>Only if labour cost rises and falls with volume.  Required — enter 0 if it does not apply.</t>
  </si>
  <si>
    <t>Contractor Cost</t>
  </si>
  <si>
    <t>Subcontractors or associates paid per job or per unit.  Required — enter 0 if it does not apply.</t>
  </si>
  <si>
    <t>Shipping / Delivery</t>
  </si>
  <si>
    <t>Freight, courier or travel charged per unit.  Required — enter 0 if it does not apply.</t>
  </si>
  <si>
    <t>Sales Commission</t>
  </si>
  <si>
    <t>Commission paid on each sale.  Required — enter 0 if it does not apply.</t>
  </si>
  <si>
    <t>Payment Processing Fees</t>
  </si>
  <si>
    <t>Card and platform fees on each transaction.  Required — enter 0 if it does not apply.</t>
  </si>
  <si>
    <t>Other Variable Cost 1</t>
  </si>
  <si>
    <t>Anything else that scales directly with volume.  Required — enter 0 if it does not apply.</t>
  </si>
  <si>
    <t>Other Variable Cost 2</t>
  </si>
  <si>
    <t>Total Variable Cost per Unit</t>
  </si>
  <si>
    <t>The sum of the eight lines above.</t>
  </si>
  <si>
    <t>Include labour or contractor cost here only if it behaves as a variable cost in your business — that is, it rises and falls with the number of units you deliver. Salaried payroll and general overhead should be entered under Monthly Fixed Costs instead, not treated as variable cost by default.</t>
  </si>
  <si>
    <t>MONTHLY FIXED COSTS</t>
  </si>
  <si>
    <t>Fixed Payroll</t>
  </si>
  <si>
    <t>Salaried and hourly staff whose cost does not move with volume.  Required — enter 0 if it does not apply.</t>
  </si>
  <si>
    <t>Rent / Occupancy</t>
  </si>
  <si>
    <t>Rent, utilities and premises costs.  Required — enter 0 if it does not apply.</t>
  </si>
  <si>
    <t>Software / Subscriptions</t>
  </si>
  <si>
    <t>Licences and recurring tools.  Required — enter 0 if it does not apply.</t>
  </si>
  <si>
    <t>Insurance</t>
  </si>
  <si>
    <t>Business and liability insurance.  Required — enter 0 if it does not apply.</t>
  </si>
  <si>
    <t>Marketing</t>
  </si>
  <si>
    <t>Ongoing marketing spend not charged per sale.  Required — enter 0 if it does not apply.</t>
  </si>
  <si>
    <t>Professional Fees</t>
  </si>
  <si>
    <t>Accounting, legal and advisory.  Required — enter 0 if it does not apply.</t>
  </si>
  <si>
    <t>Other Fixed Costs</t>
  </si>
  <si>
    <t>Anything else that does not move with volume.  Required — enter 0 if it does not apply.</t>
  </si>
  <si>
    <t>Other Fixed Costs 2</t>
  </si>
  <si>
    <t>Total Monthly Fixed Costs</t>
  </si>
  <si>
    <t>Owner draws are deliberately not listed here. Amounts the owner takes out are a distribution of profit, not an operating cost, and including them would understate what the business itself earns.</t>
  </si>
  <si>
    <t>USER-DEFINED PLANNING TARGETS</t>
  </si>
  <si>
    <t>Target Contribution Margin %</t>
  </si>
  <si>
    <t>Your own target. Must be at least 0% and less than 100%. Leave blank to skip.</t>
  </si>
  <si>
    <t>Target Gross Margin %</t>
  </si>
  <si>
    <t>Your own target. Calculated on the same per-unit costs as contribution margin in this workbook — see the note on the TARGET PRICE tab.</t>
  </si>
  <si>
    <t>Target Monthly Operating Contribution</t>
  </si>
  <si>
    <t>The monthly figure you want left after variable and fixed costs. Leave blank to skip.</t>
  </si>
  <si>
    <t>Minimum Acceptable Price (optional)</t>
  </si>
  <si>
    <t>Optional. Used only to flag whether a calculated price sits above or below your own floor.</t>
  </si>
  <si>
    <t>Maximum Monthly Capacity in Units (optional)</t>
  </si>
  <si>
    <t>Optional. Used only to flag whether a required volume sits inside the capacity you state.</t>
  </si>
  <si>
    <t>User-defined planning targets — not industry benchmarks. Vertex Strategic Finance publishes no target margin for any industry, and this workbook does not invent one. Every figure above is your choice.</t>
  </si>
  <si>
    <t>INPUT STATUS</t>
  </si>
  <si>
    <t>Vertex Strategic Finance  |  FICTIONAL EXAMPLE DATA — FOR DEMONSTRATION ONLY.  Replace every figure above with your own.</t>
  </si>
  <si>
    <t>Current Economics</t>
  </si>
  <si>
    <t>What the price, costs and volume on the PRICING INPUTS tab produce today.</t>
  </si>
  <si>
    <t>Every figure on this tab is calculated from the PRICING INPUTS tab. Nothing here is typed in. Where a figure the calculation needs has not been entered, the result reads Incomplete Inputs rather than assuming a zero.</t>
  </si>
  <si>
    <t>PER-UNIT ECONOMICS</t>
  </si>
  <si>
    <t>Chart feed — revenue, variable costs, contribution</t>
  </si>
  <si>
    <t>Measure</t>
  </si>
  <si>
    <t>How it is calculated</t>
  </si>
  <si>
    <t>Current Selling Price</t>
  </si>
  <si>
    <t>Straight from the inputs tab.</t>
  </si>
  <si>
    <t>Variable Costs</t>
  </si>
  <si>
    <t>Variable Cost per Unit</t>
  </si>
  <si>
    <t>The eight variable cost lines added together.</t>
  </si>
  <si>
    <t>Contribution</t>
  </si>
  <si>
    <t>Selling price less variable cost per unit. What one more unit adds toward fixed costs.</t>
  </si>
  <si>
    <t>Contribution per unit divided by selling price. The primary margin measure here.</t>
  </si>
  <si>
    <t>Gross Margin % (as calculated here)</t>
  </si>
  <si>
    <t>Calculated on the same per-unit costs, so it matches contribution margin in this workbook.</t>
  </si>
  <si>
    <t>Gross margin and contribution margin are calculated on the same cost base here, because the only per-unit costs this workbook holds are the variable costs you entered. In your accounting system the two can differ: some costs classified as cost of sales do not vary with volume, and some variable costs sit below the gross profit line. Contribution margin is the measure used everywhere else in this workbook.</t>
  </si>
  <si>
    <t>MONTHLY ECONOMICS</t>
  </si>
  <si>
    <t>Monthly Revenue</t>
  </si>
  <si>
    <t>Selling price multiplied by expected units. Revenue is not cash.</t>
  </si>
  <si>
    <t>Monthly Variable Costs</t>
  </si>
  <si>
    <t>Variable cost per unit multiplied by expected units.</t>
  </si>
  <si>
    <t>Monthly Contribution</t>
  </si>
  <si>
    <t>Revenue less variable costs. What is available to cover fixed costs.</t>
  </si>
  <si>
    <t>Monthly Fixed Costs</t>
  </si>
  <si>
    <t>The eight fixed cost lines added together.</t>
  </si>
  <si>
    <t>Contribution less the fixed costs entered. A planning measure, not accounting profit.</t>
  </si>
  <si>
    <t>Estimated Operating Contribution Margin %</t>
  </si>
  <si>
    <t>Estimated operating contribution divided by monthly revenue.</t>
  </si>
  <si>
    <t>Estimated Operating Contribution is a planning measure based only on the costs entered in this workbook. It is not necessarily equivalent to accounting net income or operating profit, which include items this calculator does not capture — among them depreciation, interest, taxes and any cost line you have not entered.</t>
  </si>
  <si>
    <t>BREAK-EVEN</t>
  </si>
  <si>
    <t>Total monthly fixed costs divided by contribution per unit. Calculated only when contribution per unit is above zero.</t>
  </si>
  <si>
    <t>Units Above / (Below) Break-even</t>
  </si>
  <si>
    <t>Expected units less break-even units at the current price.</t>
  </si>
  <si>
    <t>HOW THE FIGURES CONNECT</t>
  </si>
  <si>
    <t>less   Variable Costs</t>
  </si>
  <si>
    <t xml:space="preserve"> =   Contribution</t>
  </si>
  <si>
    <t>less   Fixed Costs</t>
  </si>
  <si>
    <t xml:space="preserve"> =   Estimated Operating Contribution</t>
  </si>
  <si>
    <t>Each step is calculated from your own inputs. Contribution is not net profit, and Estimated Operating Contribution is a planning figure rather than a reported result.</t>
  </si>
  <si>
    <t>Vertex Strategic Finance  |  FICTIONAL EXAMPLE DATA — FOR DEMONSTRATION ONLY.  For general information and planning only — not accounting, tax, legal or financial advice.</t>
  </si>
  <si>
    <t>Target Price</t>
  </si>
  <si>
    <t>What price would produce the economics you have chosen?</t>
  </si>
  <si>
    <t>These are arithmetic answers to the targets you set on the PRICING INPUTS tab. They are not recommendations, and they assume the volume you entered does not change. What your market will accept is a separate question this workbook cannot answer.</t>
  </si>
  <si>
    <t>PRICE REQUIRED FOR YOUR TARGET MARGIN</t>
  </si>
  <si>
    <t>Target Contribution Margin % (your input)</t>
  </si>
  <si>
    <t>Taken from the PRICING INPUTS tab. Your own target, not a benchmark.</t>
  </si>
  <si>
    <t>Price Required for Target Contribution Margin</t>
  </si>
  <si>
    <t>Variable cost per unit divided by (1 less the target margin). Reads N/M when variable cost per unit is zero.</t>
  </si>
  <si>
    <t>Target Gross Margin % (your input)</t>
  </si>
  <si>
    <t>Price Required for Target Gross Margin</t>
  </si>
  <si>
    <t>Same arithmetic, using your gross margin target. Also reads N/M at zero variable cost.</t>
  </si>
  <si>
    <t>IF YOU MOVED TO THE TARGET CONTRIBUTION MARGIN PRICE</t>
  </si>
  <si>
    <t>Current Price</t>
  </si>
  <si>
    <t>From the PRICING INPUTS tab.</t>
  </si>
  <si>
    <t>Required Price</t>
  </si>
  <si>
    <t>The figure calculated above.</t>
  </si>
  <si>
    <t>Price Change Required</t>
  </si>
  <si>
    <t>Required price less current price.</t>
  </si>
  <si>
    <t>Price Change Required (%)</t>
  </si>
  <si>
    <t>The change expressed against the current price.</t>
  </si>
  <si>
    <t>Contribution per Unit at Target Price</t>
  </si>
  <si>
    <t>Target price less variable cost per unit.</t>
  </si>
  <si>
    <t>Monthly Contribution at Target Price</t>
  </si>
  <si>
    <t>Assuming the same monthly volume.</t>
  </si>
  <si>
    <t>Estimated Operating Contribution at Target Price</t>
  </si>
  <si>
    <t>Monthly contribution at the target price less fixed costs.</t>
  </si>
  <si>
    <t>Operating Contribution Margin at Target Price</t>
  </si>
  <si>
    <t>Against revenue at the target price and the same volume.</t>
  </si>
  <si>
    <t>These figures hold volume constant at the units you entered. A price change may move the number of units you sell, in either direction; this workbook does not forecast demand and makes no assumption about it.</t>
  </si>
  <si>
    <t>PRICE REQUIRED FOR YOUR TARGET MONTHLY OPERATING CONTRIBUTION</t>
  </si>
  <si>
    <t>Target Monthly Operating Contribution (your input)</t>
  </si>
  <si>
    <t>Taken from the PRICING INPUTS tab.</t>
  </si>
  <si>
    <t>Required Monthly Contribution</t>
  </si>
  <si>
    <t>Fixed costs plus the target operating contribution.</t>
  </si>
  <si>
    <t>Required Contribution per Unit</t>
  </si>
  <si>
    <t>Required monthly contribution divided by expected units.</t>
  </si>
  <si>
    <t>Variable cost per unit plus the required contribution per unit.</t>
  </si>
  <si>
    <t>Price Change vs Current</t>
  </si>
  <si>
    <t>Price Change vs Current (%)</t>
  </si>
  <si>
    <t>This answers an arithmetic question: at the volume and costs entered, what price would leave the monthly figure you asked for. It is not a statement that the price is achievable, appropriate or correct for your market.</t>
  </si>
  <si>
    <t>MINIMUM PRICE CHECK  (OPTIONAL)</t>
  </si>
  <si>
    <t>Minimum Acceptable Price (your input)</t>
  </si>
  <si>
    <t>Optional. Your own floor — this workbook has no view on what it should be.</t>
  </si>
  <si>
    <t>Target Margin Price vs Your Minimum</t>
  </si>
  <si>
    <t>Compares the target margin price with the floor you entered.</t>
  </si>
  <si>
    <t>Target Contribution Price vs Your Minimum</t>
  </si>
  <si>
    <t>Compares the target operating contribution price with the same floor.</t>
  </si>
  <si>
    <t>Above or below your minimum is a statement about your own stated floor, nothing more. It does not make a price good or bad.</t>
  </si>
  <si>
    <t>Vertex Strategic Finance  |  FICTIONAL EXAMPLE DATA — FOR DEMONSTRATION ONLY.  No price shown here is a recommendation.</t>
  </si>
  <si>
    <t>Scenario Analysis</t>
  </si>
  <si>
    <t>Test a price change, a cost increase or a volume change before you make it.</t>
  </si>
  <si>
    <t>PRICE, COST AND VOLUME SCENARIOS</t>
  </si>
  <si>
    <t>Chart feed — scenario operating contribution</t>
  </si>
  <si>
    <t>Scenario</t>
  </si>
  <si>
    <t>Selling Price</t>
  </si>
  <si>
    <t>Units</t>
  </si>
  <si>
    <t>Total Variable Costs</t>
  </si>
  <si>
    <t>Operating Margin %</t>
  </si>
  <si>
    <t>Current / Base Case</t>
  </si>
  <si>
    <t>5% Price Increase</t>
  </si>
  <si>
    <t>10% Price Increase</t>
  </si>
  <si>
    <t>5% Price Decrease</t>
  </si>
  <si>
    <t>10% Variable Cost Increase</t>
  </si>
  <si>
    <t>Custom Scenario</t>
  </si>
  <si>
    <t>The Custom Scenario uses the current inputs unless you enter your own figures below. Fixed costs are held constant in every scenario, because a price or volume change does not by itself change them.</t>
  </si>
  <si>
    <t>CUSTOM SCENARIO INPUTS</t>
  </si>
  <si>
    <t>Your Figure</t>
  </si>
  <si>
    <t>Leave any line below blank to keep the current figure from the PRICING INPUTS tab. A blank here means use the current value, not zero.</t>
  </si>
  <si>
    <t>Custom Selling Price</t>
  </si>
  <si>
    <t>Test any price, including one below your current price.</t>
  </si>
  <si>
    <t>Custom Units per Month</t>
  </si>
  <si>
    <t>Test a different volume alongside the price.</t>
  </si>
  <si>
    <t>Custom Variable Cost per Unit</t>
  </si>
  <si>
    <t>Test a supplier increase, a new delivery model or a cost saving.</t>
  </si>
  <si>
    <t>VOLUME NEEDED TO OFFSET A PRICE REDUCTION</t>
  </si>
  <si>
    <t>Price Reduction to Test</t>
  </si>
  <si>
    <t>Your own figure. Enter 5% to test a five percent price cut.</t>
  </si>
  <si>
    <t>New Price After Reduction</t>
  </si>
  <si>
    <t>Current price less the reduction you entered. A blank reduction is not read as 0%.</t>
  </si>
  <si>
    <t>New Contribution per Unit</t>
  </si>
  <si>
    <t>New price less the same variable cost per unit.</t>
  </si>
  <si>
    <t>Current Monthly Contribution</t>
  </si>
  <si>
    <t>The contribution you generate today, before fixed costs.</t>
  </si>
  <si>
    <t>Units Needed to Hold Contribution</t>
  </si>
  <si>
    <t>Current monthly contribution divided by the new contribution per unit.</t>
  </si>
  <si>
    <t>Additional Units Required</t>
  </si>
  <si>
    <t>Required units less the units you sell today.</t>
  </si>
  <si>
    <t>Volume Increase Required (%)</t>
  </si>
  <si>
    <t>The additional units expressed against current volume.</t>
  </si>
  <si>
    <t>Required Units vs Stated Capacity</t>
  </si>
  <si>
    <t>Optional. Compares the required volume with the capacity you entered.</t>
  </si>
  <si>
    <t>VARIABLE COST INCREASE SENSITIVITY   (PRICE AND VOLUME HELD CONSTANT)</t>
  </si>
  <si>
    <t>Variable Cost Increase</t>
  </si>
  <si>
    <t>+5% on every variable cost line</t>
  </si>
  <si>
    <t>+10% on every variable cost line</t>
  </si>
  <si>
    <t>+15% on every variable cost line</t>
  </si>
  <si>
    <t>Price and volume are held constant so the effect of the cost movement can be read on its own. Every figure updates from your inputs.</t>
  </si>
  <si>
    <t>Vertex Strategic Finance  |  FICTIONAL EXAMPLE DATA — FOR DEMONSTRATION ONLY.  Scenarios describe arithmetic outcomes, not forecasts of customer behaviour.</t>
  </si>
  <si>
    <t>Product &amp; Service Mix</t>
  </si>
  <si>
    <t>Compare up to six offers on revenue, margin and total contribution.</t>
  </si>
  <si>
    <t>YOUR PRODUCTS OR SERVICES</t>
  </si>
  <si>
    <t>Enter each offer on its own row. A row needs all three of selling price, units per month and variable cost per unit before it is included — enter 0 where the real answer is zero. A row left entirely blank is ignored rather than counted as zero. A row with some figures but not all is marked Incomplete, and the totals, shares, rankings and dashboard chart are withheld until it is completed or cleared.</t>
  </si>
  <si>
    <t>Row state: 1 = complete, 0 = empty, 2 = partially completed</t>
  </si>
  <si>
    <t>1 if any row is partially completed</t>
  </si>
  <si>
    <t>Chart feed — name</t>
  </si>
  <si>
    <t>Chart feed — contribution</t>
  </si>
  <si>
    <t>Product / Service</t>
  </si>
  <si>
    <t>Units per Month</t>
  </si>
  <si>
    <t>Total Monthly Contribution</t>
  </si>
  <si>
    <t>% of Total Revenue</t>
  </si>
  <si>
    <t>% of Total Contribution</t>
  </si>
  <si>
    <t>Ranking keys — revenue, contribution, margin</t>
  </si>
  <si>
    <t>Onboarding &amp; Setup</t>
  </si>
  <si>
    <t>Advisory Session (hourly)</t>
  </si>
  <si>
    <t>Compliance Filing</t>
  </si>
  <si>
    <t>Training Workshop</t>
  </si>
  <si>
    <t>TOTAL</t>
  </si>
  <si>
    <t>WHAT THE MIX SHOWS</t>
  </si>
  <si>
    <t>Observation</t>
  </si>
  <si>
    <t>What the value shows</t>
  </si>
  <si>
    <t>Largest Revenue Share</t>
  </si>
  <si>
    <t>share of total revenue</t>
  </si>
  <si>
    <t>Highest Total Contribution</t>
  </si>
  <si>
    <t>total monthly contribution</t>
  </si>
  <si>
    <t>Highest Contribution Margin</t>
  </si>
  <si>
    <t>contribution margin</t>
  </si>
  <si>
    <t>Lowest Contribution Margin</t>
  </si>
  <si>
    <t>Margin percentage and total contribution should be read together. A lower-margin offer can still contribute substantially more profit than a high-margin one if it sells in greater volume, and a high margin on a handful of units may matter less than it appears. Nothing on this tab says that one offer is better than another — that depends on capacity, strategy and what your customers actually want.</t>
  </si>
  <si>
    <t>Vertex Strategic Finance  |  FICTIONAL EXAMPLE DATA — FOR DEMONSTRATION ONLY.  Replace these rows with your own offers.</t>
  </si>
  <si>
    <t>Pricing &amp; Margin Dashboard</t>
  </si>
  <si>
    <t>A high-level view of price, cost, contribution and break-even  —  all figures calculated from your own inputs.</t>
  </si>
  <si>
    <t>CURRENT PRICE</t>
  </si>
  <si>
    <t>VARIABLE COST PER UNIT</t>
  </si>
  <si>
    <t>CONTRIBUTION PER UNIT</t>
  </si>
  <si>
    <t>CONTRIBUTION MARGIN</t>
  </si>
  <si>
    <t>MONTHLY REVENUE</t>
  </si>
  <si>
    <t>ESTIMATED OPERATING CONTRIBUTION</t>
  </si>
  <si>
    <t>BREAK-EVEN UNITS</t>
  </si>
  <si>
    <t>PRICE FOR YOUR TARGET MARGIN</t>
  </si>
  <si>
    <t>1.   Revenue, Variable Costs and Contribution   (costs shown as positive)</t>
  </si>
  <si>
    <t>2.   Estimated Operating Contribution by Scenario</t>
  </si>
  <si>
    <t>PRICING &amp; MARGIN PULSE</t>
  </si>
  <si>
    <t>▪</t>
  </si>
  <si>
    <t>Every figure on this dashboard is calculated from the inputs you entered. This workbook applies no industry benchmark and makes no recommendation about what to charge. Contribution and Estimated Operating Contribution are planning measures, not accounting profit, and revenue is not cash. Price scenarios hold volume constant unless stated, and volume-offset figures are arithmetic rather than demand forecasts. Nothing here constitutes accounting, tax, legal, investment or financial advice, or a professional opinion on any business. All figures shown are FICTIONAL EXAMPLE DATA.</t>
  </si>
  <si>
    <t>Vertex Strategic Finance   |   CPA-Led Accounting &amp; Advisory for Owner-Led Businesses   |   www.vertexstrategicfinance.ca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</si>
</sst>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quot;-&quot;"/>
    <numFmt numFmtId="165" formatCode="#,##0;\(#,##0\);\-"/>
    <numFmt numFmtId="166" formatCode="\$#,##0;\(\$#,##0\);&quot;-&quot;"/>
    <numFmt numFmtId="167" formatCode="0.0%"/>
    <numFmt numFmtId="168" formatCode="#,##0.0;\(#,##0.0\);\-"/>
    <numFmt numFmtId="169" formatCode="\+#,##0.0;\-#,##0.0;0.0"/>
    <numFmt numFmtId="170" formatCode="&quot;+$&quot;#,##0.00;&quot;-$&quot;#,##0.00;\$0.00"/>
    <numFmt numFmtId="171" formatCode="\+0.0%;\-0.0%;0.0%"/>
    <numFmt numFmtId="172" formatCode="0.0000000"/>
  </numFmts>
  <fonts count="31" x14ac:knownFonts="1">
    <font>
      <sz val="11"/>
      <color theme="1"/>
      <name val="Calibri"/>
      <family val="2"/>
      <charset val="1"/>
    </font>
    <font>
      <b/>
      <sz val="8.5"/>
      <color rgb="FF8FB8C9"/>
      <name val="Arial"/>
      <charset val="1"/>
    </font>
    <font>
      <b/>
      <sz val="18"/>
      <color rgb="FFFFFFFF"/>
      <name val="Arial"/>
      <charset val="1"/>
    </font>
    <font>
      <sz val="9"/>
      <color rgb="FFC7D9E2"/>
      <name val="Arial"/>
      <charset val="1"/>
    </font>
    <font>
      <b/>
      <sz val="11"/>
      <color rgb="FF083152"/>
      <name val="Arial"/>
      <charset val="1"/>
    </font>
    <font>
      <sz val="10"/>
      <color rgb="FF1A1A1A"/>
      <name val="Arial"/>
      <charset val="1"/>
    </font>
    <font>
      <b/>
      <sz val="9"/>
      <color rgb="FF23727C"/>
      <name val="Arial"/>
      <charset val="1"/>
    </font>
    <font>
      <sz val="9"/>
      <color rgb="FF1A1A1A"/>
      <name val="Arial"/>
      <charset val="1"/>
    </font>
    <font>
      <b/>
      <sz val="9"/>
      <color rgb="FF083152"/>
      <name val="Arial"/>
      <charset val="1"/>
    </font>
    <font>
      <b/>
      <sz val="8.5"/>
      <color rgb="FF083152"/>
      <name val="Arial"/>
      <charset val="1"/>
    </font>
    <font>
      <sz val="9"/>
      <color rgb="FF3A4A55"/>
      <name val="Arial"/>
      <charset val="1"/>
    </font>
    <font>
      <i/>
      <sz val="8"/>
      <color rgb="FF6B7A85"/>
      <name val="Arial"/>
      <charset val="1"/>
    </font>
    <font>
      <b/>
      <sz val="11"/>
      <color rgb="FFFFFFFF"/>
      <name val="Arial"/>
      <charset val="1"/>
    </font>
    <font>
      <sz val="9"/>
      <color rgb="FF9FBECF"/>
      <name val="Arial"/>
      <charset val="1"/>
    </font>
    <font>
      <i/>
      <sz val="9"/>
      <color rgb="FF9FBECF"/>
      <name val="Arial"/>
      <charset val="1"/>
    </font>
    <font>
      <b/>
      <sz val="10"/>
      <color rgb="FFFFFFFF"/>
      <name val="Arial"/>
      <charset val="1"/>
    </font>
    <font>
      <sz val="8"/>
      <color rgb="FFFFFFFF"/>
      <name val="Arial"/>
      <charset val="1"/>
    </font>
    <font>
      <sz val="10"/>
      <color rgb="FF0B4A63"/>
      <name val="Arial"/>
      <charset val="1"/>
    </font>
    <font>
      <sz val="8.5"/>
      <color rgb="FF6B7A85"/>
      <name val="Arial"/>
      <charset val="1"/>
    </font>
    <font>
      <b/>
      <sz val="10"/>
      <color rgb="FF083152"/>
      <name val="Arial"/>
      <charset val="1"/>
    </font>
    <font>
      <i/>
      <sz val="8.5"/>
      <color rgb="FF6B7A85"/>
      <name val="Arial"/>
      <charset val="1"/>
    </font>
    <font>
      <b/>
      <sz val="9.5"/>
      <color rgb="FF083152"/>
      <name val="Arial"/>
      <charset val="1"/>
    </font>
    <font>
      <sz val="10"/>
      <color rgb="FF083152"/>
      <name val="Arial"/>
      <charset val="1"/>
    </font>
    <font>
      <i/>
      <sz val="9"/>
      <color rgb="FF083152"/>
      <name val="Arial"/>
      <charset val="1"/>
    </font>
    <font>
      <sz val="9.5"/>
      <color rgb="FF1A1A1A"/>
      <name val="Arial"/>
      <charset val="1"/>
    </font>
    <font>
      <sz val="9.5"/>
      <color rgb="FF083152"/>
      <name val="Arial"/>
      <charset val="1"/>
    </font>
    <font>
      <b/>
      <sz val="7.5"/>
      <color rgb="FF23727C"/>
      <name val="Arial"/>
      <charset val="1"/>
    </font>
    <font>
      <b/>
      <sz val="15"/>
      <color rgb="FF083152"/>
      <name val="Arial"/>
      <charset val="1"/>
    </font>
    <font>
      <sz val="7.5"/>
      <color rgb="FF6B7A85"/>
      <name val="Arial"/>
      <charset val="1"/>
    </font>
    <font>
      <sz val="8"/>
      <color rgb="FF23727C"/>
      <name val="Arial"/>
      <charset val="1"/>
    </font>
    <font>
      <b/>
      <sz val="9"/>
      <color rgb="FFFFFFFF"/>
      <name val="Arial"/>
      <charset val="1"/>
    </font>
  </fonts>
  <fills count="6">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23727C"/>
        <bgColor rgb="FF008080"/>
      </patternFill>
    </fill>
    <fill>
      <patternFill patternType="solid">
        <fgColor rgb="FFEDF4F5"/>
        <bgColor rgb="FFF4F6F8"/>
      </patternFill>
    </fill>
  </fills>
  <borders count="15">
    <border>
      <left/>
      <right/>
      <top/>
      <bottom/>
      <diagonal/>
    </border>
    <border>
      <left/>
      <right/>
      <top/>
      <bottom style="medium">
        <color rgb="FF23727C"/>
      </bottom>
      <diagonal/>
    </border>
    <border>
      <left style="thin">
        <color rgb="FF23727C"/>
      </left>
      <right style="thin">
        <color rgb="FF23727C"/>
      </right>
      <top style="thin">
        <color rgb="FF23727C"/>
      </top>
      <bottom style="thin">
        <color rgb="FF23727C"/>
      </bottom>
      <diagonal/>
    </border>
    <border>
      <left/>
      <right/>
      <top/>
      <bottom style="thin">
        <color rgb="FF083152"/>
      </bottom>
      <diagonal/>
    </border>
    <border>
      <left style="thin">
        <color rgb="FFD6DDE2"/>
      </left>
      <right style="thin">
        <color rgb="FFD6DDE2"/>
      </right>
      <top style="thin">
        <color rgb="FFD6DDE2"/>
      </top>
      <bottom style="thin">
        <color rgb="FFD6DDE2"/>
      </bottom>
      <diagonal/>
    </border>
    <border>
      <left style="thin">
        <color rgb="FFD6DDE2"/>
      </left>
      <right/>
      <top style="thin">
        <color rgb="FFD6DDE2"/>
      </top>
      <bottom style="thin">
        <color rgb="FFD6DDE2"/>
      </bottom>
      <diagonal/>
    </border>
    <border>
      <left/>
      <right style="thin">
        <color rgb="FFD6DDE2"/>
      </right>
      <top style="thin">
        <color rgb="FFD6DDE2"/>
      </top>
      <bottom style="thin">
        <color rgb="FFD6DDE2"/>
      </bottom>
      <diagonal/>
    </border>
    <border>
      <left style="thin">
        <color rgb="FFD6DDE2"/>
      </left>
      <right/>
      <top style="thin">
        <color rgb="FF083152"/>
      </top>
      <bottom style="thin">
        <color rgb="FF083152"/>
      </bottom>
      <diagonal/>
    </border>
    <border>
      <left/>
      <right style="thin">
        <color rgb="FFD6DDE2"/>
      </right>
      <top style="thin">
        <color rgb="FF083152"/>
      </top>
      <bottom style="thin">
        <color rgb="FF083152"/>
      </bottom>
      <diagonal/>
    </border>
    <border>
      <left/>
      <right/>
      <top/>
      <bottom style="thin">
        <color rgb="FFD6DDE2"/>
      </bottom>
      <diagonal/>
    </border>
    <border>
      <left/>
      <right/>
      <top style="thin">
        <color rgb="FF083152"/>
      </top>
      <bottom style="thin">
        <color rgb="FF083152"/>
      </bottom>
      <diagonal/>
    </border>
    <border>
      <left style="thin">
        <color rgb="FFD6DDE2"/>
      </left>
      <right style="thin">
        <color rgb="FFD6DDE2"/>
      </right>
      <top style="thin">
        <color rgb="FFD6DDE2"/>
      </top>
      <bottom/>
      <diagonal/>
    </border>
    <border>
      <left style="thin">
        <color rgb="FFD6DDE2"/>
      </left>
      <right style="thin">
        <color rgb="FFD6DDE2"/>
      </right>
      <top/>
      <bottom/>
      <diagonal/>
    </border>
    <border>
      <left style="thin">
        <color rgb="FFD6DDE2"/>
      </left>
      <right style="thin">
        <color rgb="FFD6DDE2"/>
      </right>
      <top/>
      <bottom style="thin">
        <color rgb="FFD6DDE2"/>
      </bottom>
      <diagonal/>
    </border>
    <border>
      <left/>
      <right/>
      <top/>
      <bottom style="thin">
        <color rgb="FF23727C"/>
      </bottom>
      <diagonal/>
    </border>
  </borders>
  <cellStyleXfs count="1">
    <xf numFmtId="0" fontId="0" fillId="0" borderId="0"/>
  </cellStyleXfs>
  <cellXfs count="104">
    <xf numFmtId="0" fontId="0" fillId="0" borderId="0" xfId="0"/>
    <xf numFmtId="0" fontId="5" fillId="0" borderId="0" xfId="0" applyFont="1" applyAlignment="1">
      <alignment horizontal="left" vertical="center" indent="2"/>
    </xf>
    <xf numFmtId="0" fontId="6" fillId="0" borderId="0" xfId="0" applyFont="1" applyAlignment="1">
      <alignment horizontal="left" vertical="center" indent="1"/>
    </xf>
    <xf numFmtId="0" fontId="7" fillId="0" borderId="0" xfId="0" applyFont="1" applyAlignment="1">
      <alignment horizontal="left" vertical="center" wrapText="1"/>
    </xf>
    <xf numFmtId="0" fontId="9" fillId="0" borderId="3" xfId="0" applyFont="1" applyBorder="1" applyAlignment="1">
      <alignment horizontal="left" vertical="center" wrapText="1" indent="1"/>
    </xf>
    <xf numFmtId="0" fontId="8" fillId="3" borderId="0" xfId="0" applyFont="1" applyFill="1" applyAlignment="1">
      <alignment horizontal="left" vertical="top" wrapText="1" indent="1"/>
    </xf>
    <xf numFmtId="0" fontId="10" fillId="3" borderId="0" xfId="0" applyFont="1" applyFill="1" applyAlignment="1">
      <alignment horizontal="left" vertical="top" wrapText="1"/>
    </xf>
    <xf numFmtId="0" fontId="8" fillId="0" borderId="0" xfId="0" applyFont="1" applyAlignment="1">
      <alignment horizontal="left" vertical="top" wrapText="1" indent="1"/>
    </xf>
    <xf numFmtId="0" fontId="10" fillId="0" borderId="0" xfId="0" applyFont="1" applyAlignment="1">
      <alignment horizontal="left" vertical="top" wrapText="1"/>
    </xf>
    <xf numFmtId="0" fontId="16" fillId="0" borderId="0" xfId="0" applyFont="1"/>
    <xf numFmtId="0" fontId="9" fillId="0" borderId="3" xfId="0" applyFont="1" applyBorder="1" applyAlignment="1">
      <alignment horizontal="right" vertical="center" wrapText="1" indent="1"/>
    </xf>
    <xf numFmtId="1" fontId="16" fillId="0" borderId="0" xfId="0" applyNumberFormat="1" applyFont="1"/>
    <xf numFmtId="0" fontId="5" fillId="0" borderId="0" xfId="0" applyFont="1" applyAlignment="1">
      <alignment horizontal="left" vertical="center" indent="1"/>
    </xf>
    <xf numFmtId="49" fontId="17" fillId="5" borderId="2" xfId="0" applyNumberFormat="1" applyFont="1" applyFill="1" applyBorder="1" applyAlignment="1" applyProtection="1">
      <alignment horizontal="left" vertical="center" indent="1"/>
      <protection locked="0"/>
    </xf>
    <xf numFmtId="0" fontId="18" fillId="0" borderId="0" xfId="0" applyFont="1" applyAlignment="1">
      <alignment horizontal="left" vertical="center" wrapText="1"/>
    </xf>
    <xf numFmtId="164" fontId="17" fillId="5" borderId="2" xfId="0" applyNumberFormat="1" applyFont="1" applyFill="1" applyBorder="1" applyAlignment="1" applyProtection="1">
      <alignment horizontal="right" vertical="center" indent="1"/>
      <protection locked="0"/>
    </xf>
    <xf numFmtId="165" fontId="17" fillId="5" borderId="2" xfId="0" applyNumberFormat="1" applyFont="1" applyFill="1" applyBorder="1" applyAlignment="1" applyProtection="1">
      <alignment horizontal="right" vertical="center" indent="1"/>
      <protection locked="0"/>
    </xf>
    <xf numFmtId="0" fontId="19" fillId="3" borderId="5" xfId="0" applyFont="1" applyFill="1" applyBorder="1" applyAlignment="1">
      <alignment horizontal="left" vertical="center" indent="1"/>
    </xf>
    <xf numFmtId="164" fontId="19" fillId="3" borderId="6" xfId="0" applyNumberFormat="1" applyFont="1" applyFill="1" applyBorder="1" applyAlignment="1">
      <alignment horizontal="right" vertical="center" indent="1"/>
    </xf>
    <xf numFmtId="166" fontId="17" fillId="5" borderId="2" xfId="0" applyNumberFormat="1" applyFont="1" applyFill="1" applyBorder="1" applyAlignment="1" applyProtection="1">
      <alignment horizontal="right" vertical="center" indent="1"/>
      <protection locked="0"/>
    </xf>
    <xf numFmtId="166" fontId="19" fillId="3" borderId="6" xfId="0" applyNumberFormat="1" applyFont="1" applyFill="1" applyBorder="1" applyAlignment="1">
      <alignment horizontal="right" vertical="center" indent="1"/>
    </xf>
    <xf numFmtId="167" fontId="17" fillId="5" borderId="2" xfId="0" applyNumberFormat="1" applyFont="1" applyFill="1" applyBorder="1" applyAlignment="1" applyProtection="1">
      <alignment horizontal="right" vertical="center" indent="1"/>
      <protection locked="0"/>
    </xf>
    <xf numFmtId="166" fontId="16" fillId="0" borderId="0" xfId="0" applyNumberFormat="1" applyFont="1"/>
    <xf numFmtId="164" fontId="22" fillId="0" borderId="0" xfId="0" applyNumberFormat="1" applyFont="1" applyAlignment="1">
      <alignment horizontal="right" vertical="center" indent="1"/>
    </xf>
    <xf numFmtId="167" fontId="19" fillId="3" borderId="6" xfId="0" applyNumberFormat="1" applyFont="1" applyFill="1" applyBorder="1" applyAlignment="1">
      <alignment horizontal="right" vertical="center" indent="1"/>
    </xf>
    <xf numFmtId="167" fontId="22" fillId="0" borderId="0" xfId="0" applyNumberFormat="1" applyFont="1" applyAlignment="1">
      <alignment horizontal="right" vertical="center" indent="1"/>
    </xf>
    <xf numFmtId="166" fontId="22" fillId="0" borderId="0" xfId="0" applyNumberFormat="1" applyFont="1" applyAlignment="1">
      <alignment horizontal="right" vertical="center" indent="1"/>
    </xf>
    <xf numFmtId="168" fontId="19" fillId="3" borderId="6" xfId="0" applyNumberFormat="1" applyFont="1" applyFill="1" applyBorder="1" applyAlignment="1">
      <alignment horizontal="right" vertical="center" indent="1"/>
    </xf>
    <xf numFmtId="169" fontId="22" fillId="0" borderId="0" xfId="0" applyNumberFormat="1" applyFont="1" applyAlignment="1">
      <alignment horizontal="right" vertical="center" indent="1"/>
    </xf>
    <xf numFmtId="0" fontId="19" fillId="3" borderId="7" xfId="0" applyFont="1" applyFill="1" applyBorder="1" applyAlignment="1">
      <alignment horizontal="left" vertical="center" indent="2"/>
    </xf>
    <xf numFmtId="166" fontId="19" fillId="3" borderId="8" xfId="0" applyNumberFormat="1" applyFont="1" applyFill="1" applyBorder="1" applyAlignment="1">
      <alignment horizontal="right" vertical="center" indent="1"/>
    </xf>
    <xf numFmtId="170" fontId="22" fillId="0" borderId="0" xfId="0" applyNumberFormat="1" applyFont="1" applyAlignment="1">
      <alignment horizontal="right" vertical="center" indent="1"/>
    </xf>
    <xf numFmtId="171" fontId="22" fillId="0" borderId="0" xfId="0" applyNumberFormat="1" applyFont="1" applyAlignment="1">
      <alignment horizontal="right" vertical="center" indent="1"/>
    </xf>
    <xf numFmtId="49" fontId="22" fillId="0" borderId="0" xfId="0" applyNumberFormat="1" applyFont="1" applyAlignment="1">
      <alignment horizontal="center" vertical="center" indent="1"/>
    </xf>
    <xf numFmtId="0" fontId="21" fillId="3" borderId="9" xfId="0" applyFont="1" applyFill="1" applyBorder="1" applyAlignment="1">
      <alignment horizontal="left" vertical="center" indent="1"/>
    </xf>
    <xf numFmtId="164" fontId="21" fillId="3" borderId="9" xfId="0" applyNumberFormat="1" applyFont="1" applyFill="1" applyBorder="1" applyAlignment="1">
      <alignment horizontal="right" vertical="center" indent="1"/>
    </xf>
    <xf numFmtId="165" fontId="21" fillId="3" borderId="9" xfId="0" applyNumberFormat="1" applyFont="1" applyFill="1" applyBorder="1" applyAlignment="1">
      <alignment horizontal="right" vertical="center" indent="1"/>
    </xf>
    <xf numFmtId="166" fontId="21" fillId="3" borderId="9" xfId="0" applyNumberFormat="1" applyFont="1" applyFill="1" applyBorder="1" applyAlignment="1">
      <alignment horizontal="right" vertical="center" indent="1"/>
    </xf>
    <xf numFmtId="167" fontId="21" fillId="3" borderId="9" xfId="0" applyNumberFormat="1" applyFont="1" applyFill="1" applyBorder="1" applyAlignment="1">
      <alignment horizontal="right" vertical="center" indent="1"/>
    </xf>
    <xf numFmtId="0" fontId="24" fillId="0" borderId="9" xfId="0" applyFont="1" applyBorder="1" applyAlignment="1">
      <alignment horizontal="left" vertical="center" indent="1"/>
    </xf>
    <xf numFmtId="164" fontId="25" fillId="0" borderId="9" xfId="0" applyNumberFormat="1" applyFont="1" applyBorder="1" applyAlignment="1">
      <alignment horizontal="right" vertical="center" indent="1"/>
    </xf>
    <xf numFmtId="165" fontId="25" fillId="0" borderId="9" xfId="0" applyNumberFormat="1" applyFont="1" applyBorder="1" applyAlignment="1">
      <alignment horizontal="right" vertical="center" indent="1"/>
    </xf>
    <xf numFmtId="166" fontId="25" fillId="0" borderId="9" xfId="0" applyNumberFormat="1" applyFont="1" applyBorder="1" applyAlignment="1">
      <alignment horizontal="right" vertical="center" indent="1"/>
    </xf>
    <xf numFmtId="167" fontId="25" fillId="0" borderId="9" xfId="0" applyNumberFormat="1" applyFont="1" applyBorder="1" applyAlignment="1">
      <alignment horizontal="right" vertical="center" indent="1"/>
    </xf>
    <xf numFmtId="0" fontId="24" fillId="0" borderId="0" xfId="0" applyFont="1" applyAlignment="1">
      <alignment horizontal="left" vertical="center" indent="1"/>
    </xf>
    <xf numFmtId="0" fontId="21" fillId="3" borderId="5" xfId="0" applyFont="1" applyFill="1" applyBorder="1" applyAlignment="1">
      <alignment horizontal="left" vertical="center" indent="1"/>
    </xf>
    <xf numFmtId="172" fontId="16" fillId="0" borderId="0" xfId="0" applyNumberFormat="1" applyFont="1"/>
    <xf numFmtId="0" fontId="19" fillId="3" borderId="10" xfId="0" applyFont="1" applyFill="1" applyBorder="1" applyAlignment="1">
      <alignment horizontal="left" vertical="center" indent="1"/>
    </xf>
    <xf numFmtId="49" fontId="19" fillId="3" borderId="10" xfId="0" applyNumberFormat="1" applyFont="1" applyFill="1" applyBorder="1" applyAlignment="1">
      <alignment horizontal="right" vertical="center" indent="1"/>
    </xf>
    <xf numFmtId="165" fontId="19" fillId="3" borderId="10" xfId="0" applyNumberFormat="1" applyFont="1" applyFill="1" applyBorder="1" applyAlignment="1">
      <alignment horizontal="right" vertical="center" indent="1"/>
    </xf>
    <xf numFmtId="166" fontId="19" fillId="3" borderId="10" xfId="0" applyNumberFormat="1" applyFont="1" applyFill="1" applyBorder="1" applyAlignment="1">
      <alignment horizontal="right" vertical="center" indent="1"/>
    </xf>
    <xf numFmtId="167" fontId="19" fillId="3" borderId="10" xfId="0" applyNumberFormat="1" applyFont="1" applyFill="1" applyBorder="1" applyAlignment="1">
      <alignment horizontal="right" vertical="center" indent="1"/>
    </xf>
    <xf numFmtId="0" fontId="21" fillId="0" borderId="9" xfId="0" applyFont="1" applyBorder="1" applyAlignment="1">
      <alignment horizontal="left" vertical="center" indent="1"/>
    </xf>
    <xf numFmtId="0" fontId="29" fillId="3" borderId="0" xfId="0" applyFont="1" applyFill="1" applyAlignment="1">
      <alignment horizontal="right" vertical="center"/>
    </xf>
    <xf numFmtId="0" fontId="29" fillId="0" borderId="0" xfId="0" applyFont="1" applyAlignment="1">
      <alignment horizontal="right" vertical="center"/>
    </xf>
    <xf numFmtId="0" fontId="11" fillId="0" borderId="4" xfId="0" applyFont="1" applyBorder="1" applyAlignment="1">
      <alignment horizontal="left" vertical="top" wrapText="1" indent="1"/>
    </xf>
    <xf numFmtId="0" fontId="12" fillId="2" borderId="0" xfId="0" applyFont="1" applyFill="1" applyAlignment="1">
      <alignment horizontal="center" vertical="center"/>
    </xf>
    <xf numFmtId="0" fontId="3" fillId="2" borderId="0" xfId="0" applyFont="1" applyFill="1" applyAlignment="1">
      <alignment horizontal="center" vertical="center"/>
    </xf>
    <xf numFmtId="0" fontId="13" fillId="2" borderId="0" xfId="0" applyFont="1" applyFill="1" applyAlignment="1">
      <alignment horizontal="center" vertical="center"/>
    </xf>
    <xf numFmtId="0" fontId="4" fillId="0" borderId="1" xfId="0" applyFont="1" applyBorder="1" applyAlignment="1">
      <alignment horizontal="left"/>
    </xf>
    <xf numFmtId="0" fontId="8" fillId="3" borderId="2" xfId="0" applyFont="1" applyFill="1" applyBorder="1" applyAlignment="1">
      <alignment horizontal="left" vertical="center" wrapText="1" indent="1"/>
    </xf>
    <xf numFmtId="0" fontId="5" fillId="0" borderId="0" xfId="0" applyFont="1" applyAlignment="1">
      <alignment horizontal="left" vertical="center" indent="2"/>
    </xf>
    <xf numFmtId="0" fontId="1" fillId="2" borderId="0" xfId="0" applyFont="1" applyFill="1" applyAlignment="1">
      <alignment horizontal="left" vertical="center" indent="1"/>
    </xf>
    <xf numFmtId="0" fontId="2" fillId="2" borderId="0" xfId="0" applyFont="1" applyFill="1" applyAlignment="1">
      <alignment horizontal="left" vertical="center" indent="1"/>
    </xf>
    <xf numFmtId="0" fontId="3" fillId="2" borderId="0" xfId="0" applyFont="1" applyFill="1" applyAlignment="1">
      <alignment horizontal="left" vertical="center" indent="1"/>
    </xf>
    <xf numFmtId="0" fontId="5" fillId="0" borderId="0" xfId="0" applyFont="1" applyAlignment="1">
      <alignment horizontal="left" vertical="top" wrapText="1" indent="1"/>
    </xf>
    <xf numFmtId="0" fontId="15" fillId="4" borderId="0" xfId="0" applyFont="1" applyFill="1" applyAlignment="1">
      <alignment horizontal="left" vertical="center" indent="1"/>
    </xf>
    <xf numFmtId="0" fontId="20" fillId="0" borderId="0" xfId="0" applyFont="1" applyAlignment="1">
      <alignment horizontal="left" vertical="top" wrapText="1" indent="1"/>
    </xf>
    <xf numFmtId="0" fontId="21" fillId="3" borderId="2" xfId="0" applyFont="1" applyFill="1" applyBorder="1" applyAlignment="1">
      <alignment horizontal="left" vertical="center" wrapText="1" indent="1"/>
    </xf>
    <xf numFmtId="0" fontId="11" fillId="0" borderId="0" xfId="0" applyFont="1" applyAlignment="1">
      <alignment horizontal="left" vertical="center" indent="1"/>
    </xf>
    <xf numFmtId="0" fontId="14" fillId="2" borderId="0" xfId="0" applyFont="1" applyFill="1" applyAlignment="1">
      <alignment horizontal="right" vertical="center" indent="1"/>
    </xf>
    <xf numFmtId="0" fontId="7" fillId="0" borderId="0" xfId="0" applyFont="1" applyAlignment="1">
      <alignment horizontal="left" vertical="top" wrapText="1" indent="1"/>
    </xf>
    <xf numFmtId="0" fontId="23" fillId="3" borderId="4" xfId="0" applyFont="1" applyFill="1" applyBorder="1" applyAlignment="1">
      <alignment horizontal="left" vertical="center" wrapText="1" indent="1"/>
    </xf>
    <xf numFmtId="164" fontId="25" fillId="0" borderId="9" xfId="0" applyNumberFormat="1" applyFont="1" applyBorder="1" applyAlignment="1">
      <alignment horizontal="right" vertical="center" indent="1"/>
    </xf>
    <xf numFmtId="167" fontId="25" fillId="0" borderId="9" xfId="0" applyNumberFormat="1" applyFont="1" applyBorder="1" applyAlignment="1">
      <alignment horizontal="right" vertical="center" indent="1"/>
    </xf>
    <xf numFmtId="166" fontId="25" fillId="0" borderId="9" xfId="0" applyNumberFormat="1" applyFont="1" applyBorder="1" applyAlignment="1">
      <alignment horizontal="right" vertical="center" indent="1"/>
    </xf>
    <xf numFmtId="0" fontId="9" fillId="0" borderId="3" xfId="0" applyFont="1" applyBorder="1" applyAlignment="1">
      <alignment horizontal="right" vertical="center" wrapText="1" indent="1"/>
    </xf>
    <xf numFmtId="171" fontId="25" fillId="0" borderId="0" xfId="0" applyNumberFormat="1" applyFont="1" applyAlignment="1">
      <alignment horizontal="right" vertical="center" indent="1"/>
    </xf>
    <xf numFmtId="0" fontId="18" fillId="0" borderId="0" xfId="0" applyFont="1" applyAlignment="1">
      <alignment horizontal="left" vertical="center" wrapText="1"/>
    </xf>
    <xf numFmtId="49" fontId="25" fillId="0" borderId="0" xfId="0" applyNumberFormat="1" applyFont="1" applyAlignment="1">
      <alignment horizontal="center" vertical="center" indent="1"/>
    </xf>
    <xf numFmtId="166" fontId="25" fillId="0" borderId="0" xfId="0" applyNumberFormat="1" applyFont="1" applyAlignment="1">
      <alignment horizontal="right" vertical="center" indent="1"/>
    </xf>
    <xf numFmtId="168" fontId="21" fillId="3" borderId="6" xfId="0" applyNumberFormat="1" applyFont="1" applyFill="1" applyBorder="1" applyAlignment="1">
      <alignment horizontal="right" vertical="center" indent="1"/>
    </xf>
    <xf numFmtId="169" fontId="25" fillId="0" borderId="0" xfId="0" applyNumberFormat="1" applyFont="1" applyAlignment="1">
      <alignment horizontal="right" vertical="center" indent="1"/>
    </xf>
    <xf numFmtId="167" fontId="17" fillId="5" borderId="2" xfId="0" applyNumberFormat="1" applyFont="1" applyFill="1" applyBorder="1" applyAlignment="1" applyProtection="1">
      <alignment horizontal="right" vertical="center" indent="1"/>
      <protection locked="0"/>
    </xf>
    <xf numFmtId="164" fontId="25" fillId="0" borderId="0" xfId="0" applyNumberFormat="1" applyFont="1" applyAlignment="1">
      <alignment horizontal="right" vertical="center" indent="1"/>
    </xf>
    <xf numFmtId="164" fontId="17" fillId="5" borderId="2" xfId="0" applyNumberFormat="1" applyFont="1" applyFill="1" applyBorder="1" applyAlignment="1" applyProtection="1">
      <alignment horizontal="right" vertical="center" indent="1"/>
      <protection locked="0"/>
    </xf>
    <xf numFmtId="0" fontId="9" fillId="0" borderId="3" xfId="0" applyFont="1" applyBorder="1" applyAlignment="1">
      <alignment horizontal="left" vertical="center" wrapText="1" indent="1"/>
    </xf>
    <xf numFmtId="165" fontId="17" fillId="5" borderId="2" xfId="0" applyNumberFormat="1" applyFont="1" applyFill="1" applyBorder="1" applyAlignment="1" applyProtection="1">
      <alignment horizontal="right" vertical="center" indent="1"/>
      <protection locked="0"/>
    </xf>
    <xf numFmtId="0" fontId="25" fillId="0" borderId="9" xfId="0" applyFont="1" applyBorder="1" applyAlignment="1">
      <alignment horizontal="left" vertical="center" indent="1"/>
    </xf>
    <xf numFmtId="167" fontId="21" fillId="0" borderId="9" xfId="0" applyNumberFormat="1" applyFont="1" applyBorder="1" applyAlignment="1">
      <alignment horizontal="right" vertical="center" indent="1"/>
    </xf>
    <xf numFmtId="0" fontId="18" fillId="0" borderId="9" xfId="0" applyFont="1" applyBorder="1" applyAlignment="1">
      <alignment horizontal="left" vertical="center" indent="1"/>
    </xf>
    <xf numFmtId="166" fontId="21" fillId="0" borderId="9" xfId="0" applyNumberFormat="1" applyFont="1" applyBorder="1" applyAlignment="1">
      <alignment horizontal="right" vertical="center" indent="1"/>
    </xf>
    <xf numFmtId="0" fontId="11" fillId="0" borderId="0" xfId="0" applyFont="1" applyAlignment="1">
      <alignment horizontal="left" vertical="top" wrapText="1" indent="1"/>
    </xf>
    <xf numFmtId="0" fontId="30" fillId="2" borderId="0" xfId="0" applyFont="1" applyFill="1" applyAlignment="1">
      <alignment horizontal="center" vertical="center"/>
    </xf>
    <xf numFmtId="0" fontId="7" fillId="0" borderId="0" xfId="0" applyFont="1" applyAlignment="1">
      <alignment horizontal="left" vertical="center" wrapText="1" indent="1"/>
    </xf>
    <xf numFmtId="0" fontId="7" fillId="3" borderId="0" xfId="0" applyFont="1" applyFill="1" applyAlignment="1">
      <alignment horizontal="left" vertical="center" wrapText="1" indent="1"/>
    </xf>
    <xf numFmtId="0" fontId="21" fillId="0" borderId="14" xfId="0" applyFont="1" applyBorder="1" applyAlignment="1">
      <alignment horizontal="left" vertical="center" indent="1"/>
    </xf>
    <xf numFmtId="0" fontId="15" fillId="2" borderId="0" xfId="0" applyFont="1" applyFill="1" applyAlignment="1">
      <alignment horizontal="left" vertical="center" indent="1"/>
    </xf>
    <xf numFmtId="0" fontId="28" fillId="3" borderId="13" xfId="0" applyFont="1" applyFill="1" applyBorder="1" applyAlignment="1">
      <alignment horizontal="left" vertical="center" indent="1"/>
    </xf>
    <xf numFmtId="0" fontId="26" fillId="3" borderId="11" xfId="0" applyFont="1" applyFill="1" applyBorder="1" applyAlignment="1">
      <alignment horizontal="left" vertical="center" wrapText="1" indent="1"/>
    </xf>
    <xf numFmtId="166" fontId="27" fillId="3" borderId="12" xfId="0" applyNumberFormat="1" applyFont="1" applyFill="1" applyBorder="1" applyAlignment="1">
      <alignment horizontal="left" vertical="center" indent="1"/>
    </xf>
    <xf numFmtId="168" fontId="27" fillId="3" borderId="12" xfId="0" applyNumberFormat="1" applyFont="1" applyFill="1" applyBorder="1" applyAlignment="1">
      <alignment horizontal="left" vertical="center" indent="1"/>
    </xf>
    <xf numFmtId="164" fontId="27" fillId="3" borderId="12" xfId="0" applyNumberFormat="1" applyFont="1" applyFill="1" applyBorder="1" applyAlignment="1">
      <alignment horizontal="left" vertical="center" indent="1"/>
    </xf>
    <xf numFmtId="167" fontId="27" fillId="3" borderId="12" xfId="0" applyNumberFormat="1" applyFont="1" applyFill="1" applyBorder="1" applyAlignment="1">
      <alignment horizontal="left" vertical="center" inden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9FBECF"/>
      <rgbColor rgb="FF6B7A85"/>
      <rgbColor rgb="FF9999FF"/>
      <rgbColor rgb="FF993366"/>
      <rgbColor rgb="FFF4F6F8"/>
      <rgbColor rgb="FFEDF4F5"/>
      <rgbColor rgb="FF660066"/>
      <rgbColor rgb="FFC08552"/>
      <rgbColor rgb="FF0066CC"/>
      <rgbColor rgb="FFC7D9E2"/>
      <rgbColor rgb="FF000080"/>
      <rgbColor rgb="FFFF00FF"/>
      <rgbColor rgb="FFFFFF00"/>
      <rgbColor rgb="FF00FFFF"/>
      <rgbColor rgb="FF800080"/>
      <rgbColor rgb="FF800000"/>
      <rgbColor rgb="FF008080"/>
      <rgbColor rgb="FF0000FF"/>
      <rgbColor rgb="FF00CCFF"/>
      <rgbColor rgb="FFCCFFFF"/>
      <rgbColor rgb="FFD6DDE2"/>
      <rgbColor rgb="FFFFFF99"/>
      <rgbColor rgb="FF8FB8C9"/>
      <rgbColor rgb="FFFF99CC"/>
      <rgbColor rgb="FFCC99FF"/>
      <rgbColor rgb="FFFFCC99"/>
      <rgbColor rgb="FF3366FF"/>
      <rgbColor rgb="FF33CCCC"/>
      <rgbColor rgb="FF99CC00"/>
      <rgbColor rgb="FFFFCC00"/>
      <rgbColor rgb="FFFF9900"/>
      <rgbColor rgb="FFFF6600"/>
      <rgbColor rgb="FF4F81BD"/>
      <rgbColor rgb="FF6FA9B1"/>
      <rgbColor rgb="FF083152"/>
      <rgbColor rgb="FF3F8E97"/>
      <rgbColor rgb="FF003300"/>
      <rgbColor rgb="FF1A1A1A"/>
      <rgbColor rgb="FF993300"/>
      <rgbColor rgb="FF993366"/>
      <rgbColor rgb="FF0B4A63"/>
      <rgbColor rgb="FF3A4A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Monthly amount</c:v>
          </c:tx>
          <c:spPr>
            <a:solidFill>
              <a:srgbClr val="4F81BD"/>
            </a:solidFill>
            <a:ln w="0">
              <a:noFill/>
            </a:ln>
          </c:spPr>
          <c:invertIfNegative val="0"/>
          <c:dPt>
            <c:idx val="0"/>
            <c:invertIfNegative val="0"/>
            <c:bubble3D val="0"/>
            <c:spPr>
              <a:solidFill>
                <a:srgbClr val="083152"/>
              </a:solidFill>
              <a:ln w="0">
                <a:noFill/>
              </a:ln>
            </c:spPr>
            <c:extLst>
              <c:ext xmlns:c16="http://schemas.microsoft.com/office/drawing/2014/chart" uri="{C3380CC4-5D6E-409C-BE32-E72D297353CC}">
                <c16:uniqueId val="{00000001-F84A-46D7-9C88-B3096C156191}"/>
              </c:ext>
            </c:extLst>
          </c:dPt>
          <c:dPt>
            <c:idx val="1"/>
            <c:invertIfNegative val="0"/>
            <c:bubble3D val="0"/>
            <c:spPr>
              <a:solidFill>
                <a:srgbClr val="9FBECF"/>
              </a:solidFill>
              <a:ln w="0">
                <a:noFill/>
              </a:ln>
            </c:spPr>
            <c:extLst>
              <c:ext xmlns:c16="http://schemas.microsoft.com/office/drawing/2014/chart" uri="{C3380CC4-5D6E-409C-BE32-E72D297353CC}">
                <c16:uniqueId val="{00000003-F84A-46D7-9C88-B3096C156191}"/>
              </c:ext>
            </c:extLst>
          </c:dPt>
          <c:dPt>
            <c:idx val="2"/>
            <c:invertIfNegative val="0"/>
            <c:bubble3D val="0"/>
            <c:spPr>
              <a:solidFill>
                <a:srgbClr val="23727C"/>
              </a:solidFill>
              <a:ln w="0">
                <a:noFill/>
              </a:ln>
            </c:spPr>
            <c:extLst>
              <c:ext xmlns:c16="http://schemas.microsoft.com/office/drawing/2014/chart" uri="{C3380CC4-5D6E-409C-BE32-E72D297353CC}">
                <c16:uniqueId val="{00000005-F84A-46D7-9C88-B3096C156191}"/>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F84A-46D7-9C88-B3096C156191}"/>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F84A-46D7-9C88-B3096C156191}"/>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F84A-46D7-9C88-B3096C156191}"/>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'CURRENT ECONOMICS'!$H$8:$H$10</c:f>
              <c:strCache>
                <c:ptCount val="3"/>
                <c:pt idx="0">
                  <c:v>Revenue</c:v>
                </c:pt>
                <c:pt idx="1">
                  <c:v>Variable Costs</c:v>
                </c:pt>
                <c:pt idx="2">
                  <c:v>Contribution</c:v>
                </c:pt>
              </c:strCache>
            </c:strRef>
          </c:cat>
          <c:val>
            <c:numRef>
              <c:f>'CURRENT ECONOMICS'!$I$8:$I$10</c:f>
              <c:numCache>
                <c:formatCode>\$#,##0;\(\$#,##0\);"-"</c:formatCode>
                <c:ptCount val="3"/>
                <c:pt idx="0">
                  <c:v>50000</c:v>
                </c:pt>
                <c:pt idx="1">
                  <c:v>19480</c:v>
                </c:pt>
                <c:pt idx="2">
                  <c:v>30520</c:v>
                </c:pt>
              </c:numCache>
            </c:numRef>
          </c:val>
          <c:extLst>
            <c:ext xmlns:c16="http://schemas.microsoft.com/office/drawing/2014/chart" uri="{C3380CC4-5D6E-409C-BE32-E72D297353CC}">
              <c16:uniqueId val="{00000006-F84A-46D7-9C88-B3096C156191}"/>
            </c:ext>
          </c:extLst>
        </c:ser>
        <c:dLbls>
          <c:showLegendKey val="0"/>
          <c:showVal val="0"/>
          <c:showCatName val="0"/>
          <c:showSerName val="0"/>
          <c:showPercent val="0"/>
          <c:showBubbleSize val="0"/>
        </c:dLbls>
        <c:gapWidth val="55"/>
        <c:overlap val="-20"/>
        <c:axId val="29636337"/>
        <c:axId val="74234106"/>
      </c:barChart>
      <c:catAx>
        <c:axId val="29636337"/>
        <c:scaling>
          <c:orientation val="minMax"/>
        </c:scaling>
        <c:delete val="0"/>
        <c:axPos val="b"/>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74234106"/>
        <c:crosses val="autoZero"/>
        <c:auto val="1"/>
        <c:lblAlgn val="ctr"/>
        <c:lblOffset val="100"/>
        <c:tickLblSkip val="1"/>
        <c:tickMarkSkip val="1"/>
        <c:noMultiLvlLbl val="0"/>
      </c:catAx>
      <c:valAx>
        <c:axId val="74234106"/>
        <c:scaling>
          <c:orientation val="minMax"/>
        </c:scaling>
        <c:delete val="0"/>
        <c:axPos val="l"/>
        <c:majorGridlines>
          <c:spPr>
            <a:ln w="6480">
              <a:solidFill>
                <a:srgbClr val="D6DDE2"/>
              </a:solidFill>
              <a:round/>
            </a:ln>
          </c:spPr>
        </c:majorGridlines>
        <c:numFmt formatCode="\$#,##0;&quot;($&quot;#,##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29636337"/>
        <c:crosses val="autoZero"/>
        <c:crossBetween val="between"/>
      </c:valAx>
      <c:spPr>
        <a:noFill/>
        <a:ln w="0">
          <a:noFill/>
        </a:ln>
      </c:spPr>
    </c:plotArea>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Estimated operating contribution</c:v>
          </c:tx>
          <c:spPr>
            <a:solidFill>
              <a:srgbClr val="4F81BD"/>
            </a:solidFill>
            <a:ln w="0">
              <a:noFill/>
            </a:ln>
          </c:spPr>
          <c:invertIfNegative val="0"/>
          <c:dPt>
            <c:idx val="0"/>
            <c:invertIfNegative val="0"/>
            <c:bubble3D val="0"/>
            <c:spPr>
              <a:solidFill>
                <a:srgbClr val="083152"/>
              </a:solidFill>
              <a:ln w="0">
                <a:noFill/>
              </a:ln>
            </c:spPr>
            <c:extLst>
              <c:ext xmlns:c16="http://schemas.microsoft.com/office/drawing/2014/chart" uri="{C3380CC4-5D6E-409C-BE32-E72D297353CC}">
                <c16:uniqueId val="{00000001-9F09-4F51-ABA8-1028333607B5}"/>
              </c:ext>
            </c:extLst>
          </c:dPt>
          <c:dPt>
            <c:idx val="1"/>
            <c:invertIfNegative val="0"/>
            <c:bubble3D val="0"/>
            <c:spPr>
              <a:solidFill>
                <a:srgbClr val="23727C"/>
              </a:solidFill>
              <a:ln w="0">
                <a:noFill/>
              </a:ln>
            </c:spPr>
            <c:extLst>
              <c:ext xmlns:c16="http://schemas.microsoft.com/office/drawing/2014/chart" uri="{C3380CC4-5D6E-409C-BE32-E72D297353CC}">
                <c16:uniqueId val="{00000003-9F09-4F51-ABA8-1028333607B5}"/>
              </c:ext>
            </c:extLst>
          </c:dPt>
          <c:dPt>
            <c:idx val="2"/>
            <c:invertIfNegative val="0"/>
            <c:bubble3D val="0"/>
            <c:spPr>
              <a:solidFill>
                <a:srgbClr val="23727C"/>
              </a:solidFill>
              <a:ln w="0">
                <a:noFill/>
              </a:ln>
            </c:spPr>
            <c:extLst>
              <c:ext xmlns:c16="http://schemas.microsoft.com/office/drawing/2014/chart" uri="{C3380CC4-5D6E-409C-BE32-E72D297353CC}">
                <c16:uniqueId val="{00000005-9F09-4F51-ABA8-1028333607B5}"/>
              </c:ext>
            </c:extLst>
          </c:dPt>
          <c:dPt>
            <c:idx val="3"/>
            <c:invertIfNegative val="0"/>
            <c:bubble3D val="0"/>
            <c:spPr>
              <a:solidFill>
                <a:srgbClr val="C08552"/>
              </a:solidFill>
              <a:ln w="0">
                <a:noFill/>
              </a:ln>
            </c:spPr>
            <c:extLst>
              <c:ext xmlns:c16="http://schemas.microsoft.com/office/drawing/2014/chart" uri="{C3380CC4-5D6E-409C-BE32-E72D297353CC}">
                <c16:uniqueId val="{00000007-9F09-4F51-ABA8-1028333607B5}"/>
              </c:ext>
            </c:extLst>
          </c:dPt>
          <c:dPt>
            <c:idx val="4"/>
            <c:invertIfNegative val="0"/>
            <c:bubble3D val="0"/>
            <c:spPr>
              <a:solidFill>
                <a:srgbClr val="C08552"/>
              </a:solidFill>
              <a:ln w="0">
                <a:noFill/>
              </a:ln>
            </c:spPr>
            <c:extLst>
              <c:ext xmlns:c16="http://schemas.microsoft.com/office/drawing/2014/chart" uri="{C3380CC4-5D6E-409C-BE32-E72D297353CC}">
                <c16:uniqueId val="{00000009-9F09-4F51-ABA8-1028333607B5}"/>
              </c:ext>
            </c:extLst>
          </c:dPt>
          <c:dPt>
            <c:idx val="5"/>
            <c:invertIfNegative val="0"/>
            <c:bubble3D val="0"/>
            <c:spPr>
              <a:solidFill>
                <a:srgbClr val="9FBECF"/>
              </a:solidFill>
              <a:ln w="0">
                <a:noFill/>
              </a:ln>
            </c:spPr>
            <c:extLst>
              <c:ext xmlns:c16="http://schemas.microsoft.com/office/drawing/2014/chart" uri="{C3380CC4-5D6E-409C-BE32-E72D297353CC}">
                <c16:uniqueId val="{0000000B-9F09-4F51-ABA8-1028333607B5}"/>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F09-4F51-ABA8-1028333607B5}"/>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F09-4F51-ABA8-1028333607B5}"/>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9F09-4F51-ABA8-1028333607B5}"/>
                </c:ext>
              </c:extLst>
            </c:dLbl>
            <c:dLbl>
              <c:idx val="3"/>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9F09-4F51-ABA8-1028333607B5}"/>
                </c:ext>
              </c:extLst>
            </c:dLbl>
            <c:dLbl>
              <c:idx val="4"/>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9F09-4F51-ABA8-1028333607B5}"/>
                </c:ext>
              </c:extLst>
            </c:dLbl>
            <c:dLbl>
              <c:idx val="5"/>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9F09-4F51-ABA8-1028333607B5}"/>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ANALYSIS'!$P$8:$P$13</c:f>
              <c:strCache>
                <c:ptCount val="6"/>
                <c:pt idx="0">
                  <c:v>Current / Base Case</c:v>
                </c:pt>
                <c:pt idx="1">
                  <c:v>5% Price Increase</c:v>
                </c:pt>
                <c:pt idx="2">
                  <c:v>10% Price Increase</c:v>
                </c:pt>
                <c:pt idx="3">
                  <c:v>5% Price Decrease</c:v>
                </c:pt>
                <c:pt idx="4">
                  <c:v>10% Variable Cost Increase</c:v>
                </c:pt>
                <c:pt idx="5">
                  <c:v>Custom Scenario</c:v>
                </c:pt>
              </c:strCache>
            </c:strRef>
          </c:cat>
          <c:val>
            <c:numRef>
              <c:f>'SCENARIO ANALYSIS'!$Q$8:$Q$13</c:f>
              <c:numCache>
                <c:formatCode>\$#,##0;\(\$#,##0\);"-"</c:formatCode>
                <c:ptCount val="6"/>
                <c:pt idx="0">
                  <c:v>10130</c:v>
                </c:pt>
                <c:pt idx="1">
                  <c:v>12630</c:v>
                </c:pt>
                <c:pt idx="2">
                  <c:v>15130</c:v>
                </c:pt>
                <c:pt idx="3">
                  <c:v>7630</c:v>
                </c:pt>
                <c:pt idx="4">
                  <c:v>8182</c:v>
                </c:pt>
                <c:pt idx="5">
                  <c:v>18770</c:v>
                </c:pt>
              </c:numCache>
            </c:numRef>
          </c:val>
          <c:extLst>
            <c:ext xmlns:c16="http://schemas.microsoft.com/office/drawing/2014/chart" uri="{C3380CC4-5D6E-409C-BE32-E72D297353CC}">
              <c16:uniqueId val="{0000000C-9F09-4F51-ABA8-1028333607B5}"/>
            </c:ext>
          </c:extLst>
        </c:ser>
        <c:dLbls>
          <c:showLegendKey val="0"/>
          <c:showVal val="0"/>
          <c:showCatName val="0"/>
          <c:showSerName val="0"/>
          <c:showPercent val="0"/>
          <c:showBubbleSize val="0"/>
        </c:dLbls>
        <c:gapWidth val="55"/>
        <c:overlap val="-20"/>
        <c:axId val="33149090"/>
        <c:axId val="51221764"/>
      </c:barChart>
      <c:catAx>
        <c:axId val="33149090"/>
        <c:scaling>
          <c:orientation val="minMax"/>
        </c:scaling>
        <c:delete val="0"/>
        <c:axPos val="b"/>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51221764"/>
        <c:crosses val="autoZero"/>
        <c:auto val="1"/>
        <c:lblAlgn val="ctr"/>
        <c:lblOffset val="100"/>
        <c:tickLblSkip val="1"/>
        <c:tickMarkSkip val="1"/>
        <c:noMultiLvlLbl val="0"/>
      </c:catAx>
      <c:valAx>
        <c:axId val="51221764"/>
        <c:scaling>
          <c:orientation val="minMax"/>
        </c:scaling>
        <c:delete val="0"/>
        <c:axPos val="l"/>
        <c:majorGridlines>
          <c:spPr>
            <a:ln w="6480">
              <a:solidFill>
                <a:srgbClr val="D6DDE2"/>
              </a:solidFill>
              <a:round/>
            </a:ln>
          </c:spPr>
        </c:majorGridlines>
        <c:numFmt formatCode="\$#,##0;&quot;($&quot;#,##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33149090"/>
        <c:crosses val="autoZero"/>
        <c:crossBetween val="between"/>
      </c:valAx>
      <c:spPr>
        <a:noFill/>
        <a:ln w="0">
          <a:noFill/>
        </a:ln>
      </c:spPr>
    </c:plotArea>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tx>
            <c:v>Monthly contribution</c:v>
          </c:tx>
          <c:spPr>
            <a:solidFill>
              <a:srgbClr val="4F81BD"/>
            </a:solidFill>
            <a:ln w="0">
              <a:noFill/>
            </a:ln>
          </c:spPr>
          <c:invertIfNegative val="0"/>
          <c:dPt>
            <c:idx val="0"/>
            <c:invertIfNegative val="0"/>
            <c:bubble3D val="0"/>
            <c:spPr>
              <a:solidFill>
                <a:srgbClr val="083152"/>
              </a:solidFill>
              <a:ln w="0">
                <a:noFill/>
              </a:ln>
            </c:spPr>
            <c:extLst>
              <c:ext xmlns:c16="http://schemas.microsoft.com/office/drawing/2014/chart" uri="{C3380CC4-5D6E-409C-BE32-E72D297353CC}">
                <c16:uniqueId val="{00000001-BA72-4022-82C4-47B694920458}"/>
              </c:ext>
            </c:extLst>
          </c:dPt>
          <c:dPt>
            <c:idx val="1"/>
            <c:invertIfNegative val="0"/>
            <c:bubble3D val="0"/>
            <c:spPr>
              <a:solidFill>
                <a:srgbClr val="23727C"/>
              </a:solidFill>
              <a:ln w="0">
                <a:noFill/>
              </a:ln>
            </c:spPr>
            <c:extLst>
              <c:ext xmlns:c16="http://schemas.microsoft.com/office/drawing/2014/chart" uri="{C3380CC4-5D6E-409C-BE32-E72D297353CC}">
                <c16:uniqueId val="{00000003-BA72-4022-82C4-47B694920458}"/>
              </c:ext>
            </c:extLst>
          </c:dPt>
          <c:dPt>
            <c:idx val="2"/>
            <c:invertIfNegative val="0"/>
            <c:bubble3D val="0"/>
            <c:spPr>
              <a:solidFill>
                <a:srgbClr val="3F8E97"/>
              </a:solidFill>
              <a:ln w="0">
                <a:noFill/>
              </a:ln>
            </c:spPr>
            <c:extLst>
              <c:ext xmlns:c16="http://schemas.microsoft.com/office/drawing/2014/chart" uri="{C3380CC4-5D6E-409C-BE32-E72D297353CC}">
                <c16:uniqueId val="{00000005-BA72-4022-82C4-47B694920458}"/>
              </c:ext>
            </c:extLst>
          </c:dPt>
          <c:dPt>
            <c:idx val="3"/>
            <c:invertIfNegative val="0"/>
            <c:bubble3D val="0"/>
            <c:spPr>
              <a:solidFill>
                <a:srgbClr val="6FA9B1"/>
              </a:solidFill>
              <a:ln w="0">
                <a:noFill/>
              </a:ln>
            </c:spPr>
            <c:extLst>
              <c:ext xmlns:c16="http://schemas.microsoft.com/office/drawing/2014/chart" uri="{C3380CC4-5D6E-409C-BE32-E72D297353CC}">
                <c16:uniqueId val="{00000007-BA72-4022-82C4-47B694920458}"/>
              </c:ext>
            </c:extLst>
          </c:dPt>
          <c:dPt>
            <c:idx val="4"/>
            <c:invertIfNegative val="0"/>
            <c:bubble3D val="0"/>
            <c:spPr>
              <a:solidFill>
                <a:srgbClr val="9FBECF"/>
              </a:solidFill>
              <a:ln w="0">
                <a:noFill/>
              </a:ln>
            </c:spPr>
            <c:extLst>
              <c:ext xmlns:c16="http://schemas.microsoft.com/office/drawing/2014/chart" uri="{C3380CC4-5D6E-409C-BE32-E72D297353CC}">
                <c16:uniqueId val="{00000009-BA72-4022-82C4-47B694920458}"/>
              </c:ext>
            </c:extLst>
          </c:dPt>
          <c:dPt>
            <c:idx val="5"/>
            <c:invertIfNegative val="0"/>
            <c:bubble3D val="0"/>
            <c:spPr>
              <a:solidFill>
                <a:srgbClr val="C7D9E2"/>
              </a:solidFill>
              <a:ln w="0">
                <a:noFill/>
              </a:ln>
            </c:spPr>
            <c:extLst>
              <c:ext xmlns:c16="http://schemas.microsoft.com/office/drawing/2014/chart" uri="{C3380CC4-5D6E-409C-BE32-E72D297353CC}">
                <c16:uniqueId val="{0000000B-BA72-4022-82C4-47B694920458}"/>
              </c:ext>
            </c:extLst>
          </c:dPt>
          <c:dLbls>
            <c:dLbl>
              <c:idx val="0"/>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A72-4022-82C4-47B694920458}"/>
                </c:ext>
              </c:extLst>
            </c:dLbl>
            <c:dLbl>
              <c:idx val="1"/>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A72-4022-82C4-47B694920458}"/>
                </c:ext>
              </c:extLst>
            </c:dLbl>
            <c:dLbl>
              <c:idx val="2"/>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BA72-4022-82C4-47B694920458}"/>
                </c:ext>
              </c:extLst>
            </c:dLbl>
            <c:dLbl>
              <c:idx val="3"/>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BA72-4022-82C4-47B694920458}"/>
                </c:ext>
              </c:extLst>
            </c:dLbl>
            <c:dLbl>
              <c:idx val="4"/>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BA72-4022-82C4-47B694920458}"/>
                </c:ext>
              </c:extLst>
            </c:dLbl>
            <c:dLbl>
              <c:idx val="5"/>
              <c:spPr/>
              <c:txPr>
                <a:bodyPr wrap="none"/>
                <a:lstStyle/>
                <a:p>
                  <a:pPr>
                    <a:defRPr sz="1000" b="0" strike="noStrike" spc="-1">
                      <a:latin typeface="Arial"/>
                    </a:defRPr>
                  </a:pPr>
                  <a:endParaRPr lang="en-US"/>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BA72-4022-82C4-47B694920458}"/>
                </c:ext>
              </c:extLst>
            </c:dLbl>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'PRODUCT &amp; SERVICE MIX'!$T$10:$T$15</c:f>
              <c:strCache>
                <c:ptCount val="5"/>
                <c:pt idx="0">
                  <c:v>Monthly Service Package</c:v>
                </c:pt>
                <c:pt idx="1">
                  <c:v>Onboarding &amp; Setup</c:v>
                </c:pt>
                <c:pt idx="2">
                  <c:v>Advisory Session (hourly)</c:v>
                </c:pt>
                <c:pt idx="3">
                  <c:v>Compliance Filing</c:v>
                </c:pt>
                <c:pt idx="4">
                  <c:v>Training Workshop</c:v>
                </c:pt>
              </c:strCache>
            </c:strRef>
          </c:cat>
          <c:val>
            <c:numRef>
              <c:f>'PRODUCT &amp; SERVICE MIX'!$U$10:$U$15</c:f>
              <c:numCache>
                <c:formatCode>\$#,##0;\(\$#,##0\);"-"</c:formatCode>
                <c:ptCount val="6"/>
                <c:pt idx="0">
                  <c:v>30520</c:v>
                </c:pt>
                <c:pt idx="1">
                  <c:v>8520</c:v>
                </c:pt>
                <c:pt idx="2">
                  <c:v>9845</c:v>
                </c:pt>
                <c:pt idx="3">
                  <c:v>7560</c:v>
                </c:pt>
                <c:pt idx="4">
                  <c:v>2900</c:v>
                </c:pt>
                <c:pt idx="5">
                  <c:v>0</c:v>
                </c:pt>
              </c:numCache>
            </c:numRef>
          </c:val>
          <c:extLst>
            <c:ext xmlns:c16="http://schemas.microsoft.com/office/drawing/2014/chart" uri="{C3380CC4-5D6E-409C-BE32-E72D297353CC}">
              <c16:uniqueId val="{0000000C-BA72-4022-82C4-47B694920458}"/>
            </c:ext>
          </c:extLst>
        </c:ser>
        <c:dLbls>
          <c:showLegendKey val="0"/>
          <c:showVal val="0"/>
          <c:showCatName val="0"/>
          <c:showSerName val="0"/>
          <c:showPercent val="0"/>
          <c:showBubbleSize val="0"/>
        </c:dLbls>
        <c:gapWidth val="55"/>
        <c:overlap val="-20"/>
        <c:axId val="15081411"/>
        <c:axId val="11130529"/>
      </c:barChart>
      <c:catAx>
        <c:axId val="15081411"/>
        <c:scaling>
          <c:orientation val="maxMin"/>
        </c:scaling>
        <c:delete val="0"/>
        <c:axPos val="l"/>
        <c:numFmt formatCode="General" sourceLinked="1"/>
        <c:majorTickMark val="none"/>
        <c:minorTickMark val="none"/>
        <c:tickLblPos val="low"/>
        <c:spPr>
          <a:ln w="6480">
            <a:solidFill>
              <a:srgbClr val="D6DDE2"/>
            </a:solidFill>
            <a:round/>
          </a:ln>
        </c:spPr>
        <c:txPr>
          <a:bodyPr/>
          <a:lstStyle/>
          <a:p>
            <a:pPr>
              <a:defRPr sz="800" b="0" strike="noStrike" spc="-1">
                <a:solidFill>
                  <a:srgbClr val="000000"/>
                </a:solidFill>
                <a:latin typeface="Arial"/>
              </a:defRPr>
            </a:pPr>
            <a:endParaRPr lang="en-US"/>
          </a:p>
        </c:txPr>
        <c:crossAx val="11130529"/>
        <c:crosses val="autoZero"/>
        <c:auto val="1"/>
        <c:lblAlgn val="ctr"/>
        <c:lblOffset val="100"/>
        <c:tickLblSkip val="1"/>
        <c:tickMarkSkip val="1"/>
        <c:noMultiLvlLbl val="0"/>
      </c:catAx>
      <c:valAx>
        <c:axId val="11130529"/>
        <c:scaling>
          <c:orientation val="minMax"/>
        </c:scaling>
        <c:delete val="0"/>
        <c:axPos val="b"/>
        <c:majorGridlines>
          <c:spPr>
            <a:ln w="6480">
              <a:solidFill>
                <a:srgbClr val="D6DDE2"/>
              </a:solidFill>
              <a:round/>
            </a:ln>
          </c:spPr>
        </c:majorGridlines>
        <c:numFmt formatCode="\$#,##0;&quot;($&quot;#,##0\);\-" sourceLinked="0"/>
        <c:majorTickMark val="none"/>
        <c:minorTickMark val="none"/>
        <c:tickLblPos val="nextTo"/>
        <c:spPr>
          <a:ln w="9360">
            <a:noFill/>
          </a:ln>
        </c:spPr>
        <c:txPr>
          <a:bodyPr/>
          <a:lstStyle/>
          <a:p>
            <a:pPr>
              <a:defRPr sz="800" b="0" strike="noStrike" spc="-1">
                <a:solidFill>
                  <a:srgbClr val="000000"/>
                </a:solidFill>
                <a:latin typeface="Arial"/>
              </a:defRPr>
            </a:pPr>
            <a:endParaRPr lang="en-US"/>
          </a:p>
        </c:txPr>
        <c:crossAx val="15081411"/>
        <c:crosses val="max"/>
        <c:crossBetween val="between"/>
      </c:valAx>
      <c:spPr>
        <a:noFill/>
        <a:ln w="0">
          <a:noFill/>
        </a:ln>
      </c:spPr>
    </c:plotArea>
    <c:plotVisOnly val="0"/>
    <c:dispBlanksAs val="gap"/>
    <c:showDLblsOverMax val="1"/>
  </c:chart>
  <c:spPr>
    <a:solidFill>
      <a:srgbClr val="FFFFFF"/>
    </a:solidFill>
    <a:ln w="6480">
      <a:solidFill>
        <a:srgbClr val="D6DDE2"/>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10</xdr:col>
      <xdr:colOff>202680</xdr:colOff>
      <xdr:row>29</xdr:row>
      <xdr:rowOff>22320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14</xdr:row>
      <xdr:rowOff>0</xdr:rowOff>
    </xdr:from>
    <xdr:to>
      <xdr:col>20</xdr:col>
      <xdr:colOff>202680</xdr:colOff>
      <xdr:row>29</xdr:row>
      <xdr:rowOff>22320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32</xdr:row>
      <xdr:rowOff>0</xdr:rowOff>
    </xdr:from>
    <xdr:to>
      <xdr:col>20</xdr:col>
      <xdr:colOff>84240</xdr:colOff>
      <xdr:row>46</xdr:row>
      <xdr:rowOff>140760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
  <sheetViews>
    <sheetView showGridLines="0" tabSelected="1" zoomScaleNormal="100" workbookViewId="0">
      <selection activeCell="C33" sqref="C33"/>
    </sheetView>
  </sheetViews>
  <sheetFormatPr defaultColWidth="8.7109375" defaultRowHeight="15" x14ac:dyDescent="0.25"/>
  <cols>
    <col min="1" max="1" width="2.42578125" customWidth="1"/>
    <col min="2" max="2" width="33" customWidth="1"/>
    <col min="3" max="3" width="74" customWidth="1"/>
    <col min="4" max="4" width="2.42578125" customWidth="1"/>
  </cols>
  <sheetData>
    <row r="1" spans="1:4" ht="13.5" customHeight="1" x14ac:dyDescent="0.25">
      <c r="A1" s="62" t="s">
        <v>0</v>
      </c>
      <c r="B1" s="62"/>
      <c r="C1" s="62"/>
      <c r="D1" s="62"/>
    </row>
    <row r="2" spans="1:4" ht="25.5" customHeight="1" x14ac:dyDescent="0.25">
      <c r="A2" s="63" t="s">
        <v>1</v>
      </c>
      <c r="B2" s="63"/>
      <c r="C2" s="63"/>
      <c r="D2" s="63"/>
    </row>
    <row r="3" spans="1:4" ht="15.75" customHeight="1" x14ac:dyDescent="0.25">
      <c r="A3" s="64" t="s">
        <v>2</v>
      </c>
      <c r="B3" s="64"/>
      <c r="C3" s="64"/>
      <c r="D3" s="64"/>
    </row>
    <row r="4" spans="1:4" ht="7.5" customHeight="1" x14ac:dyDescent="0.25"/>
    <row r="6" spans="1:4" ht="19.5" customHeight="1" x14ac:dyDescent="0.25">
      <c r="B6" s="59" t="s">
        <v>3</v>
      </c>
      <c r="C6" s="59"/>
    </row>
    <row r="7" spans="1:4" ht="6" customHeight="1" x14ac:dyDescent="0.25"/>
    <row r="8" spans="1:4" ht="27.75" customHeight="1" x14ac:dyDescent="0.25">
      <c r="B8" s="65" t="s">
        <v>4</v>
      </c>
      <c r="C8" s="65"/>
    </row>
    <row r="9" spans="1:4" ht="6" customHeight="1" x14ac:dyDescent="0.25"/>
    <row r="10" spans="1:4" ht="15" customHeight="1" x14ac:dyDescent="0.25">
      <c r="B10" s="61" t="s">
        <v>5</v>
      </c>
      <c r="C10" s="61"/>
    </row>
    <row r="11" spans="1:4" ht="15" customHeight="1" x14ac:dyDescent="0.25">
      <c r="B11" s="61" t="s">
        <v>6</v>
      </c>
      <c r="C11" s="61"/>
    </row>
    <row r="12" spans="1:4" ht="15" customHeight="1" x14ac:dyDescent="0.25">
      <c r="B12" s="61" t="s">
        <v>7</v>
      </c>
      <c r="C12" s="61"/>
    </row>
    <row r="13" spans="1:4" ht="15" customHeight="1" x14ac:dyDescent="0.25">
      <c r="B13" s="61" t="s">
        <v>8</v>
      </c>
      <c r="C13" s="61"/>
    </row>
    <row r="14" spans="1:4" ht="15" customHeight="1" x14ac:dyDescent="0.25">
      <c r="B14" s="61" t="s">
        <v>9</v>
      </c>
      <c r="C14" s="61"/>
    </row>
    <row r="15" spans="1:4" ht="15" customHeight="1" x14ac:dyDescent="0.25">
      <c r="B15" s="61" t="s">
        <v>10</v>
      </c>
      <c r="C15" s="61"/>
    </row>
    <row r="16" spans="1:4" ht="15" customHeight="1" x14ac:dyDescent="0.25">
      <c r="B16" s="61" t="s">
        <v>11</v>
      </c>
      <c r="C16" s="61"/>
    </row>
    <row r="18" spans="2:3" ht="19.5" customHeight="1" x14ac:dyDescent="0.25">
      <c r="B18" s="59" t="s">
        <v>12</v>
      </c>
      <c r="C18" s="59"/>
    </row>
    <row r="19" spans="2:3" ht="6" customHeight="1" x14ac:dyDescent="0.25"/>
    <row r="20" spans="2:3" ht="15.75" customHeight="1" x14ac:dyDescent="0.25">
      <c r="B20" s="61" t="s">
        <v>13</v>
      </c>
      <c r="C20" s="61"/>
    </row>
    <row r="21" spans="2:3" ht="15.75" customHeight="1" x14ac:dyDescent="0.25">
      <c r="B21" s="61" t="s">
        <v>14</v>
      </c>
      <c r="C21" s="61"/>
    </row>
    <row r="22" spans="2:3" ht="15.75" customHeight="1" x14ac:dyDescent="0.25">
      <c r="B22" s="61" t="s">
        <v>15</v>
      </c>
      <c r="C22" s="61"/>
    </row>
    <row r="23" spans="2:3" ht="15.75" customHeight="1" x14ac:dyDescent="0.25">
      <c r="B23" s="61" t="s">
        <v>16</v>
      </c>
      <c r="C23" s="61"/>
    </row>
    <row r="24" spans="2:3" ht="15.75" customHeight="1" x14ac:dyDescent="0.25">
      <c r="B24" s="61" t="s">
        <v>17</v>
      </c>
      <c r="C24" s="61"/>
    </row>
    <row r="25" spans="2:3" ht="15.75" customHeight="1" x14ac:dyDescent="0.25">
      <c r="B25" s="61" t="s">
        <v>18</v>
      </c>
      <c r="C25" s="61"/>
    </row>
    <row r="26" spans="2:3" ht="15.75" customHeight="1" x14ac:dyDescent="0.25">
      <c r="B26" s="61" t="s">
        <v>19</v>
      </c>
      <c r="C26" s="61"/>
    </row>
    <row r="28" spans="2:3" ht="19.5" customHeight="1" x14ac:dyDescent="0.25">
      <c r="B28" s="59" t="s">
        <v>20</v>
      </c>
      <c r="C28" s="59"/>
    </row>
    <row r="29" spans="2:3" ht="6" customHeight="1" x14ac:dyDescent="0.25"/>
    <row r="30" spans="2:3" ht="15" customHeight="1" x14ac:dyDescent="0.25">
      <c r="B30" s="2" t="s">
        <v>21</v>
      </c>
      <c r="C30" s="3" t="s">
        <v>22</v>
      </c>
    </row>
    <row r="31" spans="2:3" ht="25.5" customHeight="1" x14ac:dyDescent="0.25">
      <c r="B31" s="2" t="s">
        <v>23</v>
      </c>
      <c r="C31" s="3" t="s">
        <v>24</v>
      </c>
    </row>
    <row r="32" spans="2:3" ht="25.5" customHeight="1" x14ac:dyDescent="0.25">
      <c r="B32" s="2" t="s">
        <v>25</v>
      </c>
      <c r="C32" s="3" t="s">
        <v>26</v>
      </c>
    </row>
    <row r="33" spans="2:3" ht="25.5" customHeight="1" x14ac:dyDescent="0.25">
      <c r="B33" s="2" t="s">
        <v>27</v>
      </c>
      <c r="C33" s="3" t="s">
        <v>28</v>
      </c>
    </row>
    <row r="34" spans="2:3" ht="15" customHeight="1" x14ac:dyDescent="0.25">
      <c r="B34" s="2" t="s">
        <v>29</v>
      </c>
      <c r="C34" s="3" t="s">
        <v>30</v>
      </c>
    </row>
    <row r="35" spans="2:3" ht="25.5" customHeight="1" x14ac:dyDescent="0.25">
      <c r="B35" s="2" t="s">
        <v>31</v>
      </c>
      <c r="C35" s="3" t="s">
        <v>32</v>
      </c>
    </row>
    <row r="36" spans="2:3" ht="25.5" customHeight="1" x14ac:dyDescent="0.25">
      <c r="B36" s="2" t="s">
        <v>33</v>
      </c>
      <c r="C36" s="3" t="s">
        <v>34</v>
      </c>
    </row>
    <row r="38" spans="2:3" ht="25.5" customHeight="1" x14ac:dyDescent="0.25">
      <c r="B38" s="60" t="s">
        <v>35</v>
      </c>
      <c r="C38" s="60"/>
    </row>
    <row r="39" spans="2:3" ht="3.75" customHeight="1" x14ac:dyDescent="0.25"/>
    <row r="40" spans="2:3" ht="30" customHeight="1" x14ac:dyDescent="0.25">
      <c r="B40" s="60" t="s">
        <v>36</v>
      </c>
      <c r="C40" s="60"/>
    </row>
    <row r="42" spans="2:3" ht="19.5" customHeight="1" x14ac:dyDescent="0.25">
      <c r="B42" s="59" t="s">
        <v>37</v>
      </c>
      <c r="C42" s="59"/>
    </row>
    <row r="43" spans="2:3" ht="16.5" customHeight="1" x14ac:dyDescent="0.25">
      <c r="B43" s="4" t="s">
        <v>38</v>
      </c>
      <c r="C43" s="4" t="s">
        <v>39</v>
      </c>
    </row>
    <row r="44" spans="2:3" ht="28.5" customHeight="1" x14ac:dyDescent="0.25">
      <c r="B44" s="5" t="s">
        <v>40</v>
      </c>
      <c r="C44" s="6" t="s">
        <v>41</v>
      </c>
    </row>
    <row r="45" spans="2:3" ht="28.5" customHeight="1" x14ac:dyDescent="0.25">
      <c r="B45" s="7" t="s">
        <v>42</v>
      </c>
      <c r="C45" s="8" t="s">
        <v>43</v>
      </c>
    </row>
    <row r="46" spans="2:3" ht="28.5" customHeight="1" x14ac:dyDescent="0.25">
      <c r="B46" s="5" t="s">
        <v>44</v>
      </c>
      <c r="C46" s="6" t="s">
        <v>45</v>
      </c>
    </row>
    <row r="47" spans="2:3" ht="28.5" customHeight="1" x14ac:dyDescent="0.25">
      <c r="B47" s="7" t="s">
        <v>46</v>
      </c>
      <c r="C47" s="8" t="s">
        <v>47</v>
      </c>
    </row>
    <row r="48" spans="2:3" ht="54" customHeight="1" x14ac:dyDescent="0.25">
      <c r="B48" s="5" t="s">
        <v>48</v>
      </c>
      <c r="C48" s="6" t="s">
        <v>49</v>
      </c>
    </row>
    <row r="49" spans="1:4" ht="28.5" customHeight="1" x14ac:dyDescent="0.25">
      <c r="B49" s="7" t="s">
        <v>50</v>
      </c>
      <c r="C49" s="8" t="s">
        <v>51</v>
      </c>
    </row>
    <row r="50" spans="1:4" ht="28.5" customHeight="1" x14ac:dyDescent="0.25">
      <c r="B50" s="5" t="s">
        <v>52</v>
      </c>
      <c r="C50" s="6" t="s">
        <v>53</v>
      </c>
    </row>
    <row r="51" spans="1:4" ht="16.5" customHeight="1" x14ac:dyDescent="0.25">
      <c r="B51" s="7" t="s">
        <v>54</v>
      </c>
      <c r="C51" s="8" t="s">
        <v>55</v>
      </c>
    </row>
    <row r="52" spans="1:4" ht="28.5" customHeight="1" x14ac:dyDescent="0.25">
      <c r="B52" s="5" t="s">
        <v>56</v>
      </c>
      <c r="C52" s="6" t="s">
        <v>57</v>
      </c>
    </row>
    <row r="53" spans="1:4" ht="28.5" customHeight="1" x14ac:dyDescent="0.25">
      <c r="B53" s="7" t="s">
        <v>58</v>
      </c>
      <c r="C53" s="8" t="s">
        <v>59</v>
      </c>
    </row>
    <row r="55" spans="1:4" ht="25.5" customHeight="1" x14ac:dyDescent="0.25">
      <c r="B55" s="60" t="s">
        <v>60</v>
      </c>
      <c r="C55" s="60"/>
    </row>
    <row r="57" spans="1:4" ht="42" customHeight="1" x14ac:dyDescent="0.25">
      <c r="B57" s="55" t="s">
        <v>61</v>
      </c>
      <c r="C57" s="55"/>
    </row>
    <row r="59" spans="1:4" ht="18" customHeight="1" x14ac:dyDescent="0.25">
      <c r="A59" s="56" t="s">
        <v>62</v>
      </c>
      <c r="B59" s="56"/>
      <c r="C59" s="56"/>
      <c r="D59" s="56"/>
    </row>
    <row r="60" spans="1:4" ht="18" customHeight="1" x14ac:dyDescent="0.25">
      <c r="A60" s="57" t="s">
        <v>63</v>
      </c>
      <c r="B60" s="57"/>
      <c r="C60" s="57"/>
      <c r="D60" s="57"/>
    </row>
    <row r="61" spans="1:4" ht="18" customHeight="1" x14ac:dyDescent="0.25">
      <c r="A61" s="58" t="s">
        <v>64</v>
      </c>
      <c r="B61" s="58"/>
      <c r="C61" s="58"/>
      <c r="D61" s="58"/>
    </row>
  </sheetData>
  <sheetProtection sheet="1" formatCells="0" formatColumns="0" formatRows="0"/>
  <mergeCells count="29">
    <mergeCell ref="A1:D1"/>
    <mergeCell ref="A2:D2"/>
    <mergeCell ref="A3:D3"/>
    <mergeCell ref="B6:C6"/>
    <mergeCell ref="B8:C8"/>
    <mergeCell ref="B10:C10"/>
    <mergeCell ref="B11:C11"/>
    <mergeCell ref="B12:C12"/>
    <mergeCell ref="B13:C13"/>
    <mergeCell ref="B14:C14"/>
    <mergeCell ref="B15:C15"/>
    <mergeCell ref="B16:C16"/>
    <mergeCell ref="B18:C18"/>
    <mergeCell ref="B20:C20"/>
    <mergeCell ref="B21:C21"/>
    <mergeCell ref="B22:C22"/>
    <mergeCell ref="B23:C23"/>
    <mergeCell ref="B24:C24"/>
    <mergeCell ref="B25:C25"/>
    <mergeCell ref="B26:C26"/>
    <mergeCell ref="B57:C57"/>
    <mergeCell ref="A59:D59"/>
    <mergeCell ref="A60:D60"/>
    <mergeCell ref="A61:D61"/>
    <mergeCell ref="B28:C28"/>
    <mergeCell ref="B38:C38"/>
    <mergeCell ref="B40:C40"/>
    <mergeCell ref="B42:C42"/>
    <mergeCell ref="B55:C55"/>
  </mergeCells>
  <pageMargins left="0.35" right="0.35" top="0.4" bottom="0.4"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2"/>
  <sheetViews>
    <sheetView showGridLines="0" topLeftCell="A19" zoomScaleNormal="100" workbookViewId="0">
      <selection activeCell="C16" sqref="C16"/>
    </sheetView>
  </sheetViews>
  <sheetFormatPr defaultColWidth="8.7109375" defaultRowHeight="15" x14ac:dyDescent="0.25"/>
  <cols>
    <col min="1" max="1" width="2.42578125" customWidth="1"/>
    <col min="2" max="2" width="40" customWidth="1"/>
    <col min="3" max="3" width="24" customWidth="1"/>
    <col min="4" max="4" width="2.42578125" customWidth="1"/>
    <col min="5" max="5" width="53" customWidth="1"/>
    <col min="6" max="6" width="2.42578125" customWidth="1"/>
  </cols>
  <sheetData>
    <row r="1" spans="1:9" ht="13.5" customHeight="1" x14ac:dyDescent="0.25">
      <c r="A1" s="62" t="s">
        <v>0</v>
      </c>
      <c r="B1" s="62"/>
      <c r="C1" s="62"/>
      <c r="D1" s="62"/>
      <c r="E1" s="62"/>
      <c r="F1" s="62"/>
    </row>
    <row r="2" spans="1:9" ht="25.5" customHeight="1" x14ac:dyDescent="0.25">
      <c r="A2" s="63" t="s">
        <v>65</v>
      </c>
      <c r="B2" s="63"/>
      <c r="C2" s="63"/>
      <c r="D2" s="70" t="s">
        <v>66</v>
      </c>
      <c r="E2" s="70"/>
      <c r="F2" s="70"/>
    </row>
    <row r="3" spans="1:9" ht="15.75" customHeight="1" x14ac:dyDescent="0.25">
      <c r="A3" s="64" t="s">
        <v>67</v>
      </c>
      <c r="B3" s="64"/>
      <c r="C3" s="64"/>
      <c r="D3" s="64"/>
      <c r="E3" s="64"/>
      <c r="F3" s="64"/>
    </row>
    <row r="4" spans="1:9" ht="7.5" customHeight="1" x14ac:dyDescent="0.25"/>
    <row r="5" spans="1:9" ht="25.5" customHeight="1" x14ac:dyDescent="0.25">
      <c r="B5" s="71" t="s">
        <v>68</v>
      </c>
      <c r="C5" s="71"/>
      <c r="D5" s="71"/>
      <c r="E5" s="71"/>
    </row>
    <row r="6" spans="1:9" ht="7.5" customHeight="1" x14ac:dyDescent="0.25"/>
    <row r="7" spans="1:9" ht="18.75" customHeight="1" x14ac:dyDescent="0.25">
      <c r="B7" s="66" t="s">
        <v>69</v>
      </c>
      <c r="C7" s="66"/>
      <c r="D7" s="66"/>
      <c r="E7" s="66"/>
      <c r="H7" s="9" t="s">
        <v>70</v>
      </c>
    </row>
    <row r="8" spans="1:9" ht="16.5" customHeight="1" x14ac:dyDescent="0.25">
      <c r="B8" s="4" t="s">
        <v>71</v>
      </c>
      <c r="C8" s="10" t="s">
        <v>72</v>
      </c>
      <c r="E8" s="4" t="s">
        <v>73</v>
      </c>
      <c r="H8" s="11">
        <f>IF(ISNUMBER($C$11),1,0)</f>
        <v>1</v>
      </c>
      <c r="I8" s="9" t="s">
        <v>74</v>
      </c>
    </row>
    <row r="9" spans="1:9" ht="22.5" customHeight="1" x14ac:dyDescent="0.25">
      <c r="B9" s="12" t="s">
        <v>75</v>
      </c>
      <c r="C9" s="13" t="s">
        <v>76</v>
      </c>
      <c r="E9" s="14" t="s">
        <v>77</v>
      </c>
      <c r="H9" s="11">
        <f>IF(ISNUMBER($C$12),1,0)</f>
        <v>1</v>
      </c>
      <c r="I9" s="9" t="s">
        <v>78</v>
      </c>
    </row>
    <row r="10" spans="1:9" ht="22.5" customHeight="1" x14ac:dyDescent="0.25">
      <c r="B10" s="12" t="s">
        <v>79</v>
      </c>
      <c r="C10" s="13" t="s">
        <v>80</v>
      </c>
      <c r="E10" s="14" t="s">
        <v>81</v>
      </c>
      <c r="H10" s="11">
        <f>IF(COUNT($C$16:$C$23)=8,1,0)</f>
        <v>1</v>
      </c>
      <c r="I10" s="9" t="s">
        <v>82</v>
      </c>
    </row>
    <row r="11" spans="1:9" ht="22.5" customHeight="1" x14ac:dyDescent="0.25">
      <c r="B11" s="12" t="s">
        <v>83</v>
      </c>
      <c r="C11" s="15">
        <v>1250</v>
      </c>
      <c r="E11" s="14" t="s">
        <v>84</v>
      </c>
      <c r="H11" s="11">
        <f>IF(COUNT($C$29:$C$36)=8,1,0)</f>
        <v>1</v>
      </c>
      <c r="I11" s="9" t="s">
        <v>85</v>
      </c>
    </row>
    <row r="12" spans="1:9" ht="22.5" customHeight="1" x14ac:dyDescent="0.25">
      <c r="B12" s="12" t="s">
        <v>86</v>
      </c>
      <c r="C12" s="16">
        <v>40</v>
      </c>
      <c r="E12" s="14" t="s">
        <v>87</v>
      </c>
      <c r="H12" s="11">
        <f>IF(SUM($H$8:$H$11)=4,1,0)</f>
        <v>1</v>
      </c>
      <c r="I12" s="9" t="s">
        <v>88</v>
      </c>
    </row>
    <row r="13" spans="1:9" ht="9.75" customHeight="1" x14ac:dyDescent="0.25">
      <c r="H13" s="11">
        <f>IF(SUM($H$8:$H$10)=3,1,0)</f>
        <v>1</v>
      </c>
      <c r="I13" s="9" t="s">
        <v>89</v>
      </c>
    </row>
    <row r="14" spans="1:9" ht="18.75" customHeight="1" x14ac:dyDescent="0.25">
      <c r="B14" s="66" t="s">
        <v>90</v>
      </c>
      <c r="C14" s="66"/>
      <c r="D14" s="66"/>
      <c r="E14" s="66"/>
      <c r="H14" s="11">
        <f>(1-$H$8)+(1-$H$9)+(8-COUNT($C$16:$C$23))+(8-COUNT($C$29:$C$36))</f>
        <v>0</v>
      </c>
      <c r="I14" s="9" t="s">
        <v>91</v>
      </c>
    </row>
    <row r="15" spans="1:9" ht="16.5" customHeight="1" x14ac:dyDescent="0.25">
      <c r="B15" s="4" t="s">
        <v>71</v>
      </c>
      <c r="C15" s="10" t="s">
        <v>72</v>
      </c>
      <c r="E15" s="4" t="s">
        <v>73</v>
      </c>
    </row>
    <row r="16" spans="1:9" ht="22.5" customHeight="1" x14ac:dyDescent="0.25">
      <c r="B16" s="12" t="s">
        <v>92</v>
      </c>
      <c r="C16" s="15">
        <v>45</v>
      </c>
      <c r="E16" s="14" t="s">
        <v>93</v>
      </c>
    </row>
    <row r="17" spans="2:5" ht="22.5" customHeight="1" x14ac:dyDescent="0.25">
      <c r="B17" s="12" t="s">
        <v>94</v>
      </c>
      <c r="C17" s="15">
        <v>260</v>
      </c>
      <c r="E17" s="14" t="s">
        <v>95</v>
      </c>
    </row>
    <row r="18" spans="2:5" ht="22.5" customHeight="1" x14ac:dyDescent="0.25">
      <c r="B18" s="12" t="s">
        <v>96</v>
      </c>
      <c r="C18" s="15">
        <v>120</v>
      </c>
      <c r="E18" s="14" t="s">
        <v>97</v>
      </c>
    </row>
    <row r="19" spans="2:5" ht="22.5" customHeight="1" x14ac:dyDescent="0.25">
      <c r="B19" s="12" t="s">
        <v>98</v>
      </c>
      <c r="C19" s="15">
        <v>0</v>
      </c>
      <c r="E19" s="14" t="s">
        <v>99</v>
      </c>
    </row>
    <row r="20" spans="2:5" ht="22.5" customHeight="1" x14ac:dyDescent="0.25">
      <c r="B20" s="12" t="s">
        <v>100</v>
      </c>
      <c r="C20" s="15">
        <v>38</v>
      </c>
      <c r="E20" s="14" t="s">
        <v>101</v>
      </c>
    </row>
    <row r="21" spans="2:5" ht="22.5" customHeight="1" x14ac:dyDescent="0.25">
      <c r="B21" s="12" t="s">
        <v>102</v>
      </c>
      <c r="C21" s="15">
        <v>24</v>
      </c>
      <c r="E21" s="14" t="s">
        <v>103</v>
      </c>
    </row>
    <row r="22" spans="2:5" ht="22.5" customHeight="1" x14ac:dyDescent="0.25">
      <c r="B22" s="12" t="s">
        <v>104</v>
      </c>
      <c r="C22" s="15">
        <v>0</v>
      </c>
      <c r="E22" s="14" t="s">
        <v>105</v>
      </c>
    </row>
    <row r="23" spans="2:5" ht="22.5" customHeight="1" x14ac:dyDescent="0.25">
      <c r="B23" s="12" t="s">
        <v>106</v>
      </c>
      <c r="C23" s="15">
        <v>0</v>
      </c>
      <c r="E23" s="14" t="s">
        <v>105</v>
      </c>
    </row>
    <row r="24" spans="2:5" ht="19.5" customHeight="1" x14ac:dyDescent="0.25">
      <c r="B24" s="17" t="s">
        <v>107</v>
      </c>
      <c r="C24" s="18">
        <f>SUM(C16:C23)</f>
        <v>487</v>
      </c>
      <c r="E24" s="14" t="s">
        <v>108</v>
      </c>
    </row>
    <row r="25" spans="2:5" ht="25.5" customHeight="1" x14ac:dyDescent="0.25">
      <c r="B25" s="67" t="s">
        <v>109</v>
      </c>
      <c r="C25" s="67"/>
      <c r="D25" s="67"/>
      <c r="E25" s="67"/>
    </row>
    <row r="26" spans="2:5" ht="9.75" customHeight="1" x14ac:dyDescent="0.25"/>
    <row r="27" spans="2:5" ht="18.75" customHeight="1" x14ac:dyDescent="0.25">
      <c r="B27" s="66" t="s">
        <v>110</v>
      </c>
      <c r="C27" s="66"/>
      <c r="D27" s="66"/>
      <c r="E27" s="66"/>
    </row>
    <row r="28" spans="2:5" ht="16.5" customHeight="1" x14ac:dyDescent="0.25">
      <c r="B28" s="4" t="s">
        <v>71</v>
      </c>
      <c r="C28" s="10" t="s">
        <v>72</v>
      </c>
      <c r="E28" s="4" t="s">
        <v>73</v>
      </c>
    </row>
    <row r="29" spans="2:5" ht="22.5" customHeight="1" x14ac:dyDescent="0.25">
      <c r="B29" s="12" t="s">
        <v>111</v>
      </c>
      <c r="C29" s="19">
        <v>12400</v>
      </c>
      <c r="E29" s="14" t="s">
        <v>112</v>
      </c>
    </row>
    <row r="30" spans="2:5" ht="22.5" customHeight="1" x14ac:dyDescent="0.25">
      <c r="B30" s="12" t="s">
        <v>113</v>
      </c>
      <c r="C30" s="19">
        <v>3200</v>
      </c>
      <c r="E30" s="14" t="s">
        <v>114</v>
      </c>
    </row>
    <row r="31" spans="2:5" ht="22.5" customHeight="1" x14ac:dyDescent="0.25">
      <c r="B31" s="12" t="s">
        <v>115</v>
      </c>
      <c r="C31" s="19">
        <v>890</v>
      </c>
      <c r="E31" s="14" t="s">
        <v>116</v>
      </c>
    </row>
    <row r="32" spans="2:5" ht="22.5" customHeight="1" x14ac:dyDescent="0.25">
      <c r="B32" s="12" t="s">
        <v>117</v>
      </c>
      <c r="C32" s="19">
        <v>310</v>
      </c>
      <c r="E32" s="14" t="s">
        <v>118</v>
      </c>
    </row>
    <row r="33" spans="2:5" ht="22.5" customHeight="1" x14ac:dyDescent="0.25">
      <c r="B33" s="12" t="s">
        <v>119</v>
      </c>
      <c r="C33" s="19">
        <v>1850</v>
      </c>
      <c r="E33" s="14" t="s">
        <v>120</v>
      </c>
    </row>
    <row r="34" spans="2:5" ht="22.5" customHeight="1" x14ac:dyDescent="0.25">
      <c r="B34" s="12" t="s">
        <v>121</v>
      </c>
      <c r="C34" s="19">
        <v>640</v>
      </c>
      <c r="E34" s="14" t="s">
        <v>122</v>
      </c>
    </row>
    <row r="35" spans="2:5" ht="22.5" customHeight="1" x14ac:dyDescent="0.25">
      <c r="B35" s="12" t="s">
        <v>123</v>
      </c>
      <c r="C35" s="19">
        <v>1100</v>
      </c>
      <c r="E35" s="14" t="s">
        <v>124</v>
      </c>
    </row>
    <row r="36" spans="2:5" ht="22.5" customHeight="1" x14ac:dyDescent="0.25">
      <c r="B36" s="12" t="s">
        <v>125</v>
      </c>
      <c r="C36" s="19">
        <v>0</v>
      </c>
      <c r="E36" s="14" t="s">
        <v>124</v>
      </c>
    </row>
    <row r="37" spans="2:5" ht="19.5" customHeight="1" x14ac:dyDescent="0.25">
      <c r="B37" s="17" t="s">
        <v>126</v>
      </c>
      <c r="C37" s="20">
        <f>SUM(C29:C36)</f>
        <v>20390</v>
      </c>
      <c r="E37" s="14" t="s">
        <v>108</v>
      </c>
    </row>
    <row r="38" spans="2:5" ht="21.75" customHeight="1" x14ac:dyDescent="0.25">
      <c r="B38" s="67" t="s">
        <v>127</v>
      </c>
      <c r="C38" s="67"/>
      <c r="D38" s="67"/>
      <c r="E38" s="67"/>
    </row>
    <row r="39" spans="2:5" ht="9.75" customHeight="1" x14ac:dyDescent="0.25"/>
    <row r="40" spans="2:5" ht="18.75" customHeight="1" x14ac:dyDescent="0.25">
      <c r="B40" s="66" t="s">
        <v>128</v>
      </c>
      <c r="C40" s="66"/>
      <c r="D40" s="66"/>
      <c r="E40" s="66"/>
    </row>
    <row r="41" spans="2:5" ht="16.5" customHeight="1" x14ac:dyDescent="0.25">
      <c r="B41" s="4" t="s">
        <v>71</v>
      </c>
      <c r="C41" s="10" t="s">
        <v>72</v>
      </c>
      <c r="E41" s="4" t="s">
        <v>73</v>
      </c>
    </row>
    <row r="42" spans="2:5" ht="22.5" customHeight="1" x14ac:dyDescent="0.25">
      <c r="B42" s="12" t="s">
        <v>129</v>
      </c>
      <c r="C42" s="21">
        <v>0.65</v>
      </c>
      <c r="E42" s="14" t="s">
        <v>130</v>
      </c>
    </row>
    <row r="43" spans="2:5" ht="22.5" customHeight="1" x14ac:dyDescent="0.25">
      <c r="B43" s="12" t="s">
        <v>131</v>
      </c>
      <c r="C43" s="21">
        <v>0.6</v>
      </c>
      <c r="E43" s="14" t="s">
        <v>132</v>
      </c>
    </row>
    <row r="44" spans="2:5" ht="22.5" customHeight="1" x14ac:dyDescent="0.25">
      <c r="B44" s="12" t="s">
        <v>133</v>
      </c>
      <c r="C44" s="19">
        <v>15000</v>
      </c>
      <c r="E44" s="14" t="s">
        <v>134</v>
      </c>
    </row>
    <row r="45" spans="2:5" ht="22.5" customHeight="1" x14ac:dyDescent="0.25">
      <c r="B45" s="12" t="s">
        <v>135</v>
      </c>
      <c r="C45" s="15">
        <v>1100</v>
      </c>
      <c r="E45" s="14" t="s">
        <v>136</v>
      </c>
    </row>
    <row r="46" spans="2:5" ht="22.5" customHeight="1" x14ac:dyDescent="0.25">
      <c r="B46" s="12" t="s">
        <v>137</v>
      </c>
      <c r="C46" s="16">
        <v>55</v>
      </c>
      <c r="E46" s="14" t="s">
        <v>138</v>
      </c>
    </row>
    <row r="47" spans="2:5" ht="21.75" customHeight="1" x14ac:dyDescent="0.25">
      <c r="B47" s="67" t="s">
        <v>139</v>
      </c>
      <c r="C47" s="67"/>
      <c r="D47" s="67"/>
      <c r="E47" s="67"/>
    </row>
    <row r="48" spans="2:5" ht="9.75" customHeight="1" x14ac:dyDescent="0.25"/>
    <row r="49" spans="2:5" ht="18.75" customHeight="1" x14ac:dyDescent="0.25">
      <c r="B49" s="66" t="s">
        <v>140</v>
      </c>
      <c r="C49" s="66"/>
      <c r="D49" s="66"/>
      <c r="E49" s="66"/>
    </row>
    <row r="50" spans="2:5" ht="30" customHeight="1" x14ac:dyDescent="0.25">
      <c r="B50" s="68" t="str">
        <f>IF($H$12=1,"All required inputs are entered. Every calculation in this workbook is live.","Incomplete Inputs — "&amp;TEXT($H$14,"0")&amp;" required cell(s) are still blank. Enter 0 for any required line that does not apply; the tabs that need those figures show Incomplete Inputs until they are filled in.")</f>
        <v>All required inputs are entered. Every calculation in this workbook is live.</v>
      </c>
      <c r="C50" s="68"/>
      <c r="D50" s="68"/>
      <c r="E50" s="68"/>
    </row>
    <row r="51" spans="2:5" ht="7.5" customHeight="1" x14ac:dyDescent="0.25"/>
    <row r="52" spans="2:5" ht="13.5" customHeight="1" x14ac:dyDescent="0.25">
      <c r="B52" s="69" t="s">
        <v>141</v>
      </c>
      <c r="C52" s="69"/>
      <c r="D52" s="69"/>
      <c r="E52" s="69"/>
    </row>
  </sheetData>
  <sheetProtection sheet="1" formatCells="0" formatColumns="0" formatRows="0"/>
  <mergeCells count="15">
    <mergeCell ref="A1:F1"/>
    <mergeCell ref="A2:C2"/>
    <mergeCell ref="D2:F2"/>
    <mergeCell ref="A3:F3"/>
    <mergeCell ref="B5:E5"/>
    <mergeCell ref="B7:E7"/>
    <mergeCell ref="B14:E14"/>
    <mergeCell ref="B25:E25"/>
    <mergeCell ref="B27:E27"/>
    <mergeCell ref="B38:E38"/>
    <mergeCell ref="B40:E40"/>
    <mergeCell ref="B47:E47"/>
    <mergeCell ref="B49:E49"/>
    <mergeCell ref="B50:E50"/>
    <mergeCell ref="B52:E52"/>
  </mergeCells>
  <pageMargins left="0.35" right="0.35" top="0.4" bottom="0.4"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1"/>
  <sheetViews>
    <sheetView showGridLines="0" topLeftCell="A16" zoomScaleNormal="100" workbookViewId="0">
      <selection sqref="A1:F1"/>
    </sheetView>
  </sheetViews>
  <sheetFormatPr defaultColWidth="8.7109375" defaultRowHeight="15" x14ac:dyDescent="0.25"/>
  <cols>
    <col min="1" max="1" width="2.42578125" customWidth="1"/>
    <col min="2" max="2" width="44" customWidth="1"/>
    <col min="3" max="3" width="18" customWidth="1"/>
    <col min="4" max="4" width="2.42578125" customWidth="1"/>
    <col min="5" max="5" width="56" customWidth="1"/>
    <col min="6" max="6" width="2.42578125" customWidth="1"/>
  </cols>
  <sheetData>
    <row r="1" spans="1:9" ht="13.5" customHeight="1" x14ac:dyDescent="0.25">
      <c r="A1" s="62" t="s">
        <v>0</v>
      </c>
      <c r="B1" s="62"/>
      <c r="C1" s="62"/>
      <c r="D1" s="62"/>
      <c r="E1" s="62"/>
      <c r="F1" s="62"/>
    </row>
    <row r="2" spans="1:9" ht="25.5" customHeight="1" x14ac:dyDescent="0.25">
      <c r="A2" s="63" t="s">
        <v>142</v>
      </c>
      <c r="B2" s="63"/>
      <c r="C2" s="63"/>
      <c r="D2" s="70" t="s">
        <v>66</v>
      </c>
      <c r="E2" s="70"/>
      <c r="F2" s="70"/>
    </row>
    <row r="3" spans="1:9" ht="15.75" customHeight="1" x14ac:dyDescent="0.25">
      <c r="A3" s="64" t="s">
        <v>143</v>
      </c>
      <c r="B3" s="64"/>
      <c r="C3" s="64"/>
      <c r="D3" s="64"/>
      <c r="E3" s="64"/>
      <c r="F3" s="64"/>
    </row>
    <row r="4" spans="1:9" ht="7.5" customHeight="1" x14ac:dyDescent="0.25"/>
    <row r="5" spans="1:9" ht="24" customHeight="1" x14ac:dyDescent="0.25">
      <c r="B5" s="71" t="s">
        <v>144</v>
      </c>
      <c r="C5" s="71"/>
      <c r="D5" s="71"/>
      <c r="E5" s="71"/>
    </row>
    <row r="6" spans="1:9" ht="7.5" customHeight="1" x14ac:dyDescent="0.25"/>
    <row r="7" spans="1:9" ht="18.75" customHeight="1" x14ac:dyDescent="0.25">
      <c r="B7" s="66" t="s">
        <v>145</v>
      </c>
      <c r="C7" s="66"/>
      <c r="D7" s="66"/>
      <c r="E7" s="66"/>
      <c r="H7" s="9" t="s">
        <v>146</v>
      </c>
    </row>
    <row r="8" spans="1:9" ht="16.5" customHeight="1" x14ac:dyDescent="0.25">
      <c r="B8" s="4" t="s">
        <v>147</v>
      </c>
      <c r="C8" s="10" t="s">
        <v>72</v>
      </c>
      <c r="E8" s="4" t="s">
        <v>148</v>
      </c>
      <c r="H8" s="9" t="s">
        <v>40</v>
      </c>
      <c r="I8" s="22">
        <f>IF(ISNUMBER($C$18),$C$18,"")</f>
        <v>50000</v>
      </c>
    </row>
    <row r="9" spans="1:9" ht="19.5" customHeight="1" x14ac:dyDescent="0.25">
      <c r="B9" s="12" t="s">
        <v>149</v>
      </c>
      <c r="C9" s="23">
        <f>IF(OkPrice=0,"Incomplete Inputs",Price)</f>
        <v>1250</v>
      </c>
      <c r="E9" s="14" t="s">
        <v>150</v>
      </c>
      <c r="H9" s="9" t="s">
        <v>151</v>
      </c>
      <c r="I9" s="22">
        <f>IF(ISNUMBER($C$19),$C$19,"")</f>
        <v>19480</v>
      </c>
    </row>
    <row r="10" spans="1:9" ht="19.5" customHeight="1" x14ac:dyDescent="0.25">
      <c r="B10" s="12" t="s">
        <v>152</v>
      </c>
      <c r="C10" s="23">
        <f>IF(OkVar=0,"Incomplete Inputs",VarUnit)</f>
        <v>487</v>
      </c>
      <c r="E10" s="14" t="s">
        <v>153</v>
      </c>
      <c r="H10" s="9" t="s">
        <v>154</v>
      </c>
      <c r="I10" s="22">
        <f>IF(ISNUMBER($C$20),$C$20,"")</f>
        <v>30520</v>
      </c>
    </row>
    <row r="11" spans="1:9" ht="19.5" customHeight="1" x14ac:dyDescent="0.25">
      <c r="B11" s="17" t="s">
        <v>44</v>
      </c>
      <c r="C11" s="18">
        <f>IF(OR(OkPrice=0,OkVar=0),"Incomplete Inputs",Price-VarUnit)</f>
        <v>763</v>
      </c>
      <c r="E11" s="14" t="s">
        <v>155</v>
      </c>
    </row>
    <row r="12" spans="1:9" ht="19.5" customHeight="1" x14ac:dyDescent="0.25">
      <c r="B12" s="17" t="s">
        <v>46</v>
      </c>
      <c r="C12" s="24">
        <f>IF(OR(OkPrice=0,OkVar=0),"Incomplete Inputs",IF(Price=0,"N/M",(Price-VarUnit)/Price))</f>
        <v>0.61040000000000005</v>
      </c>
      <c r="E12" s="14" t="s">
        <v>156</v>
      </c>
    </row>
    <row r="13" spans="1:9" ht="19.5" customHeight="1" x14ac:dyDescent="0.25">
      <c r="B13" s="12" t="s">
        <v>157</v>
      </c>
      <c r="C13" s="25">
        <f>IF(OR(OkPrice=0,OkVar=0),"Incomplete Inputs",IF(Price=0,"N/M",(Price-VarUnit)/Price))</f>
        <v>0.61040000000000005</v>
      </c>
      <c r="E13" s="14" t="s">
        <v>158</v>
      </c>
    </row>
    <row r="14" spans="1:9" ht="31.5" customHeight="1" x14ac:dyDescent="0.25">
      <c r="B14" s="67" t="s">
        <v>159</v>
      </c>
      <c r="C14" s="67"/>
      <c r="D14" s="67"/>
      <c r="E14" s="67"/>
    </row>
    <row r="15" spans="1:9" ht="9.75" customHeight="1" x14ac:dyDescent="0.25"/>
    <row r="16" spans="1:9" ht="18.75" customHeight="1" x14ac:dyDescent="0.25">
      <c r="B16" s="66" t="s">
        <v>160</v>
      </c>
      <c r="C16" s="66"/>
      <c r="D16" s="66"/>
      <c r="E16" s="66"/>
    </row>
    <row r="17" spans="2:5" ht="16.5" customHeight="1" x14ac:dyDescent="0.25">
      <c r="B17" s="4" t="s">
        <v>147</v>
      </c>
      <c r="C17" s="10" t="s">
        <v>72</v>
      </c>
      <c r="E17" s="4" t="s">
        <v>148</v>
      </c>
    </row>
    <row r="18" spans="2:5" ht="19.5" customHeight="1" x14ac:dyDescent="0.25">
      <c r="B18" s="12" t="s">
        <v>161</v>
      </c>
      <c r="C18" s="26">
        <f>IF(OR(OkPrice=0,OkUnits=0),"Incomplete Inputs",Price*Units)</f>
        <v>50000</v>
      </c>
      <c r="E18" s="14" t="s">
        <v>162</v>
      </c>
    </row>
    <row r="19" spans="2:5" ht="19.5" customHeight="1" x14ac:dyDescent="0.25">
      <c r="B19" s="12" t="s">
        <v>163</v>
      </c>
      <c r="C19" s="26">
        <f>IF(OR(OkVar=0,OkUnits=0),"Incomplete Inputs",VarUnit*Units)</f>
        <v>19480</v>
      </c>
      <c r="E19" s="14" t="s">
        <v>164</v>
      </c>
    </row>
    <row r="20" spans="2:5" ht="19.5" customHeight="1" x14ac:dyDescent="0.25">
      <c r="B20" s="17" t="s">
        <v>165</v>
      </c>
      <c r="C20" s="20">
        <f>IF(CoreOK=0,"Incomplete Inputs",(Price-VarUnit)*Units)</f>
        <v>30520</v>
      </c>
      <c r="E20" s="14" t="s">
        <v>166</v>
      </c>
    </row>
    <row r="21" spans="2:5" ht="19.5" customHeight="1" x14ac:dyDescent="0.25">
      <c r="B21" s="12" t="s">
        <v>167</v>
      </c>
      <c r="C21" s="26">
        <f>IF(OkFixed=0,"Incomplete Inputs",FixedTotal)</f>
        <v>20390</v>
      </c>
      <c r="E21" s="14" t="s">
        <v>168</v>
      </c>
    </row>
    <row r="22" spans="2:5" ht="19.5" customHeight="1" x14ac:dyDescent="0.25">
      <c r="B22" s="17" t="s">
        <v>56</v>
      </c>
      <c r="C22" s="20">
        <f>IF(Complete=0,"Incomplete Inputs",(Price-VarUnit)*Units-FixedTotal)</f>
        <v>10130</v>
      </c>
      <c r="E22" s="14" t="s">
        <v>169</v>
      </c>
    </row>
    <row r="23" spans="2:5" ht="19.5" customHeight="1" x14ac:dyDescent="0.25">
      <c r="B23" s="12" t="s">
        <v>170</v>
      </c>
      <c r="C23" s="25">
        <f>IF(Complete=0,"Incomplete Inputs",IF(Price*Units=0,"N/M",((Price-VarUnit)*Units-FixedTotal)/(Price*Units)))</f>
        <v>0.2026</v>
      </c>
      <c r="E23" s="14" t="s">
        <v>171</v>
      </c>
    </row>
    <row r="24" spans="2:5" ht="27.75" customHeight="1" x14ac:dyDescent="0.25">
      <c r="B24" s="67" t="s">
        <v>172</v>
      </c>
      <c r="C24" s="67"/>
      <c r="D24" s="67"/>
      <c r="E24" s="67"/>
    </row>
    <row r="25" spans="2:5" ht="9.75" customHeight="1" x14ac:dyDescent="0.25"/>
    <row r="26" spans="2:5" ht="18.75" customHeight="1" x14ac:dyDescent="0.25">
      <c r="B26" s="66" t="s">
        <v>173</v>
      </c>
      <c r="C26" s="66"/>
      <c r="D26" s="66"/>
      <c r="E26" s="66"/>
    </row>
    <row r="27" spans="2:5" ht="16.5" customHeight="1" x14ac:dyDescent="0.25">
      <c r="B27" s="4" t="s">
        <v>147</v>
      </c>
      <c r="C27" s="10" t="s">
        <v>72</v>
      </c>
      <c r="E27" s="4" t="s">
        <v>148</v>
      </c>
    </row>
    <row r="28" spans="2:5" ht="19.5" customHeight="1" x14ac:dyDescent="0.25">
      <c r="B28" s="17" t="s">
        <v>52</v>
      </c>
      <c r="C28" s="27">
        <f>IF(Complete=0,"Incomplete Inputs",IF((Price-VarUnit)&lt;=0,"N/M",FixedTotal/(Price-VarUnit)))</f>
        <v>26.723460026212319</v>
      </c>
      <c r="E28" s="14" t="s">
        <v>174</v>
      </c>
    </row>
    <row r="29" spans="2:5" ht="19.5" customHeight="1" x14ac:dyDescent="0.25">
      <c r="B29" s="12" t="s">
        <v>54</v>
      </c>
      <c r="C29" s="26">
        <f>IF(Complete=0,"Incomplete Inputs",IF((Price-VarUnit)&lt;=0,"N/M",FixedTotal/(Price-VarUnit)*Price))</f>
        <v>33404.325032765395</v>
      </c>
      <c r="E29" s="14" t="s">
        <v>55</v>
      </c>
    </row>
    <row r="30" spans="2:5" ht="19.5" customHeight="1" x14ac:dyDescent="0.25">
      <c r="B30" s="12" t="s">
        <v>175</v>
      </c>
      <c r="C30" s="28">
        <f>IF(NOT(ISNUMBER($C$28)),"N/M",IF(OkUnits=0,"Incomplete Inputs",Units-$C$28))</f>
        <v>13.276539973787681</v>
      </c>
      <c r="E30" s="14" t="s">
        <v>176</v>
      </c>
    </row>
    <row r="31" spans="2:5" ht="25.5" customHeight="1" x14ac:dyDescent="0.25">
      <c r="B31" s="72" t="str">
        <f>IF(Complete=0,"Complete the required inputs on the PRICING INPUTS tab before reading the break-even figures.",IF((Price-VarUnit)&lt;=0,"At the figures entered, contribution per unit is not above zero, so no volume of sales would cover the fixed costs entered. Break-even is reported as N/M rather than as a number.",IF(Units&gt;=$C$28,"Expected volume of "&amp;TEXT(Units,"#,##0")&amp;" units is at or above the break-even level of "&amp;TEXT($C$28,"#,##0.0")&amp;" units at the current price.","Expected volume of "&amp;TEXT(Units,"#,##0")&amp;" units is below the break-even level of "&amp;TEXT($C$28,"#,##0.0")&amp;" units at the current price.")))</f>
        <v>Expected volume of 40 units is at or above the break-even level of 26.7 units at the current price.</v>
      </c>
      <c r="C31" s="72"/>
      <c r="D31" s="72"/>
      <c r="E31" s="72"/>
    </row>
    <row r="32" spans="2:5" ht="9.75" customHeight="1" x14ac:dyDescent="0.25"/>
    <row r="33" spans="2:5" ht="18.75" customHeight="1" x14ac:dyDescent="0.25">
      <c r="B33" s="66" t="s">
        <v>177</v>
      </c>
      <c r="C33" s="66"/>
      <c r="D33" s="66"/>
      <c r="E33" s="66"/>
    </row>
    <row r="34" spans="2:5" ht="18.75" customHeight="1" x14ac:dyDescent="0.25">
      <c r="B34" s="1" t="s">
        <v>40</v>
      </c>
      <c r="C34" s="26">
        <f>IF(OR(OkPrice=0,OkUnits=0),"Incomplete Inputs",Price*Units)</f>
        <v>50000</v>
      </c>
    </row>
    <row r="35" spans="2:5" ht="18.75" customHeight="1" x14ac:dyDescent="0.25">
      <c r="B35" s="1" t="s">
        <v>178</v>
      </c>
      <c r="C35" s="26">
        <f>IF(OR(OkVar=0,OkUnits=0),"Incomplete Inputs",-VarUnit*Units)</f>
        <v>-19480</v>
      </c>
    </row>
    <row r="36" spans="2:5" ht="18.75" customHeight="1" x14ac:dyDescent="0.25">
      <c r="B36" s="29" t="s">
        <v>179</v>
      </c>
      <c r="C36" s="30">
        <f>IF(CoreOK=0,"Incomplete Inputs",(Price-VarUnit)*Units)</f>
        <v>30520</v>
      </c>
    </row>
    <row r="37" spans="2:5" ht="18.75" customHeight="1" x14ac:dyDescent="0.25">
      <c r="B37" s="1" t="s">
        <v>180</v>
      </c>
      <c r="C37" s="26">
        <f>IF(OkFixed=0,"Incomplete Inputs",-FixedTotal)</f>
        <v>-20390</v>
      </c>
    </row>
    <row r="38" spans="2:5" ht="18.75" customHeight="1" x14ac:dyDescent="0.25">
      <c r="B38" s="29" t="s">
        <v>181</v>
      </c>
      <c r="C38" s="30">
        <f>IF(Complete=0,"Incomplete Inputs",(Price-VarUnit)*Units-FixedTotal)</f>
        <v>10130</v>
      </c>
    </row>
    <row r="39" spans="2:5" ht="18" customHeight="1" x14ac:dyDescent="0.25">
      <c r="B39" s="67" t="s">
        <v>182</v>
      </c>
      <c r="C39" s="67"/>
      <c r="D39" s="67"/>
      <c r="E39" s="67"/>
    </row>
    <row r="41" spans="2:5" ht="13.5" customHeight="1" x14ac:dyDescent="0.25">
      <c r="B41" s="69" t="s">
        <v>183</v>
      </c>
      <c r="C41" s="69"/>
      <c r="D41" s="69"/>
      <c r="E41" s="69"/>
    </row>
  </sheetData>
  <sheetProtection sheet="1" formatCells="0" formatColumns="0" formatRows="0"/>
  <mergeCells count="14">
    <mergeCell ref="A1:F1"/>
    <mergeCell ref="A2:C2"/>
    <mergeCell ref="D2:F2"/>
    <mergeCell ref="A3:F3"/>
    <mergeCell ref="B5:E5"/>
    <mergeCell ref="B31:E31"/>
    <mergeCell ref="B33:E33"/>
    <mergeCell ref="B39:E39"/>
    <mergeCell ref="B41:E41"/>
    <mergeCell ref="B7:E7"/>
    <mergeCell ref="B14:E14"/>
    <mergeCell ref="B16:E16"/>
    <mergeCell ref="B24:E24"/>
    <mergeCell ref="B26:E26"/>
  </mergeCells>
  <pageMargins left="0.35" right="0.35" top="0.4" bottom="0.4" header="0.511811023622047" footer="0.511811023622047"/>
  <pageSetup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4"/>
  <sheetViews>
    <sheetView showGridLines="0" zoomScaleNormal="100" workbookViewId="0">
      <selection sqref="A1:F1"/>
    </sheetView>
  </sheetViews>
  <sheetFormatPr defaultColWidth="8.7109375" defaultRowHeight="15" x14ac:dyDescent="0.25"/>
  <cols>
    <col min="1" max="1" width="2.42578125" customWidth="1"/>
    <col min="2" max="2" width="46" customWidth="1"/>
    <col min="3" max="3" width="20" customWidth="1"/>
    <col min="4" max="4" width="2.42578125" customWidth="1"/>
    <col min="5" max="5" width="52" customWidth="1"/>
    <col min="6" max="6" width="2.42578125" customWidth="1"/>
  </cols>
  <sheetData>
    <row r="1" spans="1:6" ht="13.5" customHeight="1" x14ac:dyDescent="0.25">
      <c r="A1" s="62" t="s">
        <v>0</v>
      </c>
      <c r="B1" s="62"/>
      <c r="C1" s="62"/>
      <c r="D1" s="62"/>
      <c r="E1" s="62"/>
      <c r="F1" s="62"/>
    </row>
    <row r="2" spans="1:6" ht="25.5" customHeight="1" x14ac:dyDescent="0.25">
      <c r="A2" s="63" t="s">
        <v>184</v>
      </c>
      <c r="B2" s="63"/>
      <c r="C2" s="63"/>
      <c r="D2" s="70" t="s">
        <v>66</v>
      </c>
      <c r="E2" s="70"/>
      <c r="F2" s="70"/>
    </row>
    <row r="3" spans="1:6" ht="15.75" customHeight="1" x14ac:dyDescent="0.25">
      <c r="A3" s="64" t="s">
        <v>185</v>
      </c>
      <c r="B3" s="64"/>
      <c r="C3" s="64"/>
      <c r="D3" s="64"/>
      <c r="E3" s="64"/>
      <c r="F3" s="64"/>
    </row>
    <row r="4" spans="1:6" ht="7.5" customHeight="1" x14ac:dyDescent="0.25"/>
    <row r="5" spans="1:6" ht="24" customHeight="1" x14ac:dyDescent="0.25">
      <c r="B5" s="71" t="s">
        <v>186</v>
      </c>
      <c r="C5" s="71"/>
      <c r="D5" s="71"/>
      <c r="E5" s="71"/>
    </row>
    <row r="6" spans="1:6" ht="7.5" customHeight="1" x14ac:dyDescent="0.25"/>
    <row r="7" spans="1:6" ht="18.75" customHeight="1" x14ac:dyDescent="0.25">
      <c r="B7" s="66" t="s">
        <v>187</v>
      </c>
      <c r="C7" s="66"/>
      <c r="D7" s="66"/>
      <c r="E7" s="66"/>
    </row>
    <row r="8" spans="1:6" ht="16.5" customHeight="1" x14ac:dyDescent="0.25">
      <c r="B8" s="4" t="s">
        <v>147</v>
      </c>
      <c r="C8" s="10" t="s">
        <v>72</v>
      </c>
      <c r="E8" s="4" t="s">
        <v>148</v>
      </c>
    </row>
    <row r="9" spans="1:6" ht="19.5" customHeight="1" x14ac:dyDescent="0.25">
      <c r="B9" s="12" t="s">
        <v>188</v>
      </c>
      <c r="C9" s="25">
        <f>IF(NOT(ISNUMBER(TgtCM)),"Set Target",TgtCM)</f>
        <v>0.65</v>
      </c>
      <c r="E9" s="14" t="s">
        <v>189</v>
      </c>
    </row>
    <row r="10" spans="1:6" ht="24" customHeight="1" x14ac:dyDescent="0.25">
      <c r="B10" s="17" t="s">
        <v>190</v>
      </c>
      <c r="C10" s="18">
        <f>IF(OkVar=0,"Incomplete Inputs",IF(NOT(ISNUMBER(TgtCM)),"Set Target",IF(NOT(AND(ISNUMBER(TgtCM),TgtCM&gt;=0,TgtCM&lt;1)),"Invalid Target",IF(VarUnit&lt;=0,"N/M",VarUnit/(1-TgtCM)))))</f>
        <v>1391.4285714285716</v>
      </c>
      <c r="E10" s="14" t="s">
        <v>191</v>
      </c>
    </row>
    <row r="11" spans="1:6" ht="19.5" customHeight="1" x14ac:dyDescent="0.25">
      <c r="B11" s="12" t="s">
        <v>192</v>
      </c>
      <c r="C11" s="25">
        <f>IF(NOT(ISNUMBER(TgtGM)),"Set Target",TgtGM)</f>
        <v>0.6</v>
      </c>
      <c r="E11" s="14" t="s">
        <v>189</v>
      </c>
    </row>
    <row r="12" spans="1:6" ht="19.5" customHeight="1" x14ac:dyDescent="0.25">
      <c r="B12" s="12" t="s">
        <v>193</v>
      </c>
      <c r="C12" s="23">
        <f>IF(OkVar=0,"Incomplete Inputs",IF(NOT(ISNUMBER(TgtGM)),"Set Target",IF(NOT(AND(ISNUMBER(TgtGM),TgtGM&gt;=0,TgtGM&lt;1)),"Invalid Target",IF(VarUnit&lt;=0,"N/M",VarUnit/(1-TgtGM)))))</f>
        <v>1217.5</v>
      </c>
      <c r="E12" s="14" t="s">
        <v>194</v>
      </c>
    </row>
    <row r="13" spans="1:6" ht="33.75" customHeight="1" x14ac:dyDescent="0.25">
      <c r="B13" s="72" t="str">
        <f>IF(OR(AND(ISNUMBER(TgtCM),TgtCM&lt;0),AND(ISNUMBER(TgtGM),TgtGM&lt;0)),"Negative targets are outside this calculator's supported range.",IF(OR(AND(ISNUMBER(TgtCM),TgtCM&gt;=1),AND(ISNUMBER(TgtGM),TgtGM&gt;=1)),"Enter a target between 0% and less than 100%. A target of 100% or more cannot be reached at any price while a variable cost exists.",IF(AND(OkVar=1,VarUnit&lt;=0),"With zero variable cost per unit, any positive selling price produces a 100% contribution margin, so an exact lower target margin does not determine a unique positive price. Both target-margin prices above read N/M. "&amp;"The price required for your target monthly operating contribution, below, is a different calculation and is unaffected.","Both prices use the same variable cost per unit, so in this workbook the two calculations differ only by the target you set. "&amp;"Your accounting gross margin may sit on a different cost base — contribution margin is the measure used everywhere else here.")))</f>
        <v>Both prices use the same variable cost per unit, so in this workbook the two calculations differ only by the target you set. Your accounting gross margin may sit on a different cost base — contribution margin is the measure used everywhere else here.</v>
      </c>
      <c r="C13" s="72"/>
      <c r="D13" s="72"/>
      <c r="E13" s="72"/>
    </row>
    <row r="14" spans="1:6" ht="9.75" customHeight="1" x14ac:dyDescent="0.25"/>
    <row r="15" spans="1:6" ht="18.75" customHeight="1" x14ac:dyDescent="0.25">
      <c r="B15" s="66" t="s">
        <v>195</v>
      </c>
      <c r="C15" s="66"/>
      <c r="D15" s="66"/>
      <c r="E15" s="66"/>
    </row>
    <row r="16" spans="1:6" ht="16.5" customHeight="1" x14ac:dyDescent="0.25">
      <c r="B16" s="4" t="s">
        <v>147</v>
      </c>
      <c r="C16" s="10" t="s">
        <v>72</v>
      </c>
      <c r="E16" s="4" t="s">
        <v>148</v>
      </c>
    </row>
    <row r="17" spans="2:5" ht="19.5" customHeight="1" x14ac:dyDescent="0.25">
      <c r="B17" s="12" t="s">
        <v>196</v>
      </c>
      <c r="C17" s="23">
        <f>IF(OkPrice=0,"Incomplete Inputs",Price)</f>
        <v>1250</v>
      </c>
      <c r="E17" s="14" t="s">
        <v>197</v>
      </c>
    </row>
    <row r="18" spans="2:5" ht="19.5" customHeight="1" x14ac:dyDescent="0.25">
      <c r="B18" s="12" t="s">
        <v>198</v>
      </c>
      <c r="C18" s="23">
        <f>$C$10</f>
        <v>1391.4285714285716</v>
      </c>
      <c r="E18" s="14" t="s">
        <v>199</v>
      </c>
    </row>
    <row r="19" spans="2:5" ht="19.5" customHeight="1" x14ac:dyDescent="0.25">
      <c r="B19" s="12" t="s">
        <v>200</v>
      </c>
      <c r="C19" s="31">
        <f>IF(OR(NOT(ISNUMBER($C$10)),NOT(ISNUMBER($C$17))),"N/M",$C$10-$C$17)</f>
        <v>141.42857142857156</v>
      </c>
      <c r="E19" s="14" t="s">
        <v>201</v>
      </c>
    </row>
    <row r="20" spans="2:5" ht="19.5" customHeight="1" x14ac:dyDescent="0.25">
      <c r="B20" s="12" t="s">
        <v>202</v>
      </c>
      <c r="C20" s="32">
        <f>IF(OR(NOT(ISNUMBER($C$10)),NOT(ISNUMBER($C$17)),$C$17=0),"N/M",$C$10/$C$17-1)</f>
        <v>0.11314285714285721</v>
      </c>
      <c r="E20" s="14" t="s">
        <v>203</v>
      </c>
    </row>
    <row r="21" spans="2:5" ht="19.5" customHeight="1" x14ac:dyDescent="0.25">
      <c r="B21" s="12" t="s">
        <v>204</v>
      </c>
      <c r="C21" s="23">
        <f>IF(OR(NOT(ISNUMBER($C$10)),OkVar=0),"N/M",$C$10-VarUnit)</f>
        <v>904.42857142857156</v>
      </c>
      <c r="E21" s="14" t="s">
        <v>205</v>
      </c>
    </row>
    <row r="22" spans="2:5" ht="19.5" customHeight="1" x14ac:dyDescent="0.25">
      <c r="B22" s="12" t="s">
        <v>206</v>
      </c>
      <c r="C22" s="26">
        <f>IF(OR(NOT(ISNUMBER($C$21)),OkUnits=0),"N/M",$C$21*Units)</f>
        <v>36177.142857142862</v>
      </c>
      <c r="E22" s="14" t="s">
        <v>207</v>
      </c>
    </row>
    <row r="23" spans="2:5" ht="19.5" customHeight="1" x14ac:dyDescent="0.25">
      <c r="B23" s="17" t="s">
        <v>208</v>
      </c>
      <c r="C23" s="20">
        <f>IF(OR(NOT(ISNUMBER($C$22)),OkFixed=0),"N/M",$C$22-FixedTotal)</f>
        <v>15787.142857142862</v>
      </c>
      <c r="E23" s="14" t="s">
        <v>209</v>
      </c>
    </row>
    <row r="24" spans="2:5" ht="19.5" customHeight="1" x14ac:dyDescent="0.25">
      <c r="B24" s="12" t="s">
        <v>210</v>
      </c>
      <c r="C24" s="25">
        <f>IF(OR(NOT(ISNUMBER($C$23)),NOT(ISNUMBER($C$10)),OkUnits=0),"N/M",IF($C$10*Units=0,"N/M",$C$23/($C$10*Units)))</f>
        <v>0.28364989733059554</v>
      </c>
      <c r="E24" s="14" t="s">
        <v>211</v>
      </c>
    </row>
    <row r="25" spans="2:5" ht="21.75" customHeight="1" x14ac:dyDescent="0.25">
      <c r="B25" s="67" t="s">
        <v>212</v>
      </c>
      <c r="C25" s="67"/>
      <c r="D25" s="67"/>
      <c r="E25" s="67"/>
    </row>
    <row r="26" spans="2:5" ht="9.75" customHeight="1" x14ac:dyDescent="0.25"/>
    <row r="27" spans="2:5" ht="18.75" customHeight="1" x14ac:dyDescent="0.25">
      <c r="B27" s="66" t="s">
        <v>213</v>
      </c>
      <c r="C27" s="66"/>
      <c r="D27" s="66"/>
      <c r="E27" s="66"/>
    </row>
    <row r="28" spans="2:5" ht="16.5" customHeight="1" x14ac:dyDescent="0.25">
      <c r="B28" s="4" t="s">
        <v>147</v>
      </c>
      <c r="C28" s="10" t="s">
        <v>72</v>
      </c>
      <c r="E28" s="4" t="s">
        <v>148</v>
      </c>
    </row>
    <row r="29" spans="2:5" ht="19.5" customHeight="1" x14ac:dyDescent="0.25">
      <c r="B29" s="12" t="s">
        <v>214</v>
      </c>
      <c r="C29" s="26">
        <f>IF(NOT(ISNUMBER(TgtOC)),"Set Target",TgtOC)</f>
        <v>15000</v>
      </c>
      <c r="E29" s="14" t="s">
        <v>215</v>
      </c>
    </row>
    <row r="30" spans="2:5" ht="19.5" customHeight="1" x14ac:dyDescent="0.25">
      <c r="B30" s="12" t="s">
        <v>216</v>
      </c>
      <c r="C30" s="26">
        <f>IF(OkFixed=0,"Incomplete Inputs",IF(NOT(ISNUMBER(TgtOC)),"Set Target",FixedTotal+TgtOC))</f>
        <v>35390</v>
      </c>
      <c r="E30" s="14" t="s">
        <v>217</v>
      </c>
    </row>
    <row r="31" spans="2:5" ht="19.5" customHeight="1" x14ac:dyDescent="0.25">
      <c r="B31" s="12" t="s">
        <v>218</v>
      </c>
      <c r="C31" s="23">
        <f>IF(NOT(ISNUMBER($C$30)),$C$30,IF(OkUnits=0,"Incomplete Inputs",IF(Units&lt;=0,"N/M",$C$30/Units)))</f>
        <v>884.75</v>
      </c>
      <c r="E31" s="14" t="s">
        <v>219</v>
      </c>
    </row>
    <row r="32" spans="2:5" ht="19.5" customHeight="1" x14ac:dyDescent="0.25">
      <c r="B32" s="17" t="s">
        <v>198</v>
      </c>
      <c r="C32" s="18">
        <f>IF(NOT(ISNUMBER($C$31)),$C$31,IF(OkVar=0,"Incomplete Inputs",VarUnit+$C$31))</f>
        <v>1371.75</v>
      </c>
      <c r="E32" s="14" t="s">
        <v>220</v>
      </c>
    </row>
    <row r="33" spans="2:5" ht="19.5" customHeight="1" x14ac:dyDescent="0.25">
      <c r="B33" s="12" t="s">
        <v>221</v>
      </c>
      <c r="C33" s="31">
        <f>IF(OR(NOT(ISNUMBER($C$32)),NOT(ISNUMBER($C$17))),"N/M",$C$32-$C$17)</f>
        <v>121.75</v>
      </c>
      <c r="E33" s="14" t="s">
        <v>201</v>
      </c>
    </row>
    <row r="34" spans="2:5" ht="19.5" customHeight="1" x14ac:dyDescent="0.25">
      <c r="B34" s="12" t="s">
        <v>222</v>
      </c>
      <c r="C34" s="32">
        <f>IF(OR(NOT(ISNUMBER($C$32)),NOT(ISNUMBER($C$17)),$C$17=0),"N/M",$C$32/$C$17-1)</f>
        <v>9.7399999999999931E-2</v>
      </c>
      <c r="E34" s="14" t="s">
        <v>203</v>
      </c>
    </row>
    <row r="35" spans="2:5" ht="21.75" customHeight="1" x14ac:dyDescent="0.25">
      <c r="B35" s="67" t="s">
        <v>223</v>
      </c>
      <c r="C35" s="67"/>
      <c r="D35" s="67"/>
      <c r="E35" s="67"/>
    </row>
    <row r="36" spans="2:5" ht="9.75" customHeight="1" x14ac:dyDescent="0.25"/>
    <row r="37" spans="2:5" ht="18.75" customHeight="1" x14ac:dyDescent="0.25">
      <c r="B37" s="66" t="s">
        <v>224</v>
      </c>
      <c r="C37" s="66"/>
      <c r="D37" s="66"/>
      <c r="E37" s="66"/>
    </row>
    <row r="38" spans="2:5" ht="16.5" customHeight="1" x14ac:dyDescent="0.25">
      <c r="B38" s="4" t="s">
        <v>147</v>
      </c>
      <c r="C38" s="10" t="s">
        <v>72</v>
      </c>
      <c r="E38" s="4" t="s">
        <v>148</v>
      </c>
    </row>
    <row r="39" spans="2:5" ht="19.5" customHeight="1" x14ac:dyDescent="0.25">
      <c r="B39" s="12" t="s">
        <v>225</v>
      </c>
      <c r="C39" s="23">
        <f>IF(NOT(ISNUMBER(MinPrice)),"No Minimum Entered",MinPrice)</f>
        <v>1100</v>
      </c>
      <c r="E39" s="14" t="s">
        <v>226</v>
      </c>
    </row>
    <row r="40" spans="2:5" ht="19.5" customHeight="1" x14ac:dyDescent="0.25">
      <c r="B40" s="12" t="s">
        <v>227</v>
      </c>
      <c r="C40" s="33" t="str">
        <f>IF(NOT(ISNUMBER(MinPrice)),"No Minimum Entered",IF(NOT(ISNUMBER($C$10)),"N/M",IF($C$10&gt;=MinPrice,"Above User Minimum","Below User Minimum")))</f>
        <v>Above User Minimum</v>
      </c>
      <c r="E40" s="14" t="s">
        <v>228</v>
      </c>
    </row>
    <row r="41" spans="2:5" ht="19.5" customHeight="1" x14ac:dyDescent="0.25">
      <c r="B41" s="12" t="s">
        <v>229</v>
      </c>
      <c r="C41" s="33" t="str">
        <f>IF(NOT(ISNUMBER(MinPrice)),"No Minimum Entered",IF(NOT(ISNUMBER($C$32)),"N/M",IF($C$32&gt;=MinPrice,"Above User Minimum","Below User Minimum")))</f>
        <v>Above User Minimum</v>
      </c>
      <c r="E41" s="14" t="s">
        <v>230</v>
      </c>
    </row>
    <row r="42" spans="2:5" ht="18" customHeight="1" x14ac:dyDescent="0.25">
      <c r="B42" s="67" t="s">
        <v>231</v>
      </c>
      <c r="C42" s="67"/>
      <c r="D42" s="67"/>
      <c r="E42" s="67"/>
    </row>
    <row r="44" spans="2:5" ht="13.5" customHeight="1" x14ac:dyDescent="0.25">
      <c r="B44" s="69" t="s">
        <v>232</v>
      </c>
      <c r="C44" s="69"/>
      <c r="D44" s="69"/>
      <c r="E44" s="69"/>
    </row>
  </sheetData>
  <sheetProtection sheet="1" formatCells="0" formatColumns="0" formatRows="0"/>
  <mergeCells count="14">
    <mergeCell ref="A1:F1"/>
    <mergeCell ref="A2:C2"/>
    <mergeCell ref="D2:F2"/>
    <mergeCell ref="A3:F3"/>
    <mergeCell ref="B5:E5"/>
    <mergeCell ref="B35:E35"/>
    <mergeCell ref="B37:E37"/>
    <mergeCell ref="B42:E42"/>
    <mergeCell ref="B44:E44"/>
    <mergeCell ref="B7:E7"/>
    <mergeCell ref="B13:E13"/>
    <mergeCell ref="B15:E15"/>
    <mergeCell ref="B25:E25"/>
    <mergeCell ref="B27:E27"/>
  </mergeCells>
  <pageMargins left="0.35" right="0.35" top="0.4" bottom="0.4" header="0.511811023622047" footer="0.511811023622047"/>
  <pageSetup fitToHeight="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44"/>
  <sheetViews>
    <sheetView showGridLines="0" topLeftCell="A28" zoomScaleNormal="100" workbookViewId="0">
      <selection activeCell="C21" sqref="C21:D21"/>
    </sheetView>
  </sheetViews>
  <sheetFormatPr defaultColWidth="8.7109375" defaultRowHeight="15" x14ac:dyDescent="0.25"/>
  <cols>
    <col min="1" max="1" width="2.42578125" customWidth="1"/>
    <col min="2" max="2" width="34" customWidth="1"/>
    <col min="3" max="3" width="13" customWidth="1"/>
    <col min="4" max="4" width="10" customWidth="1"/>
    <col min="5" max="6" width="14" customWidth="1"/>
    <col min="7" max="8" width="15" customWidth="1"/>
    <col min="9" max="9" width="11.42578125" customWidth="1"/>
    <col min="10" max="10" width="15" customWidth="1"/>
    <col min="11" max="11" width="13" customWidth="1"/>
    <col min="12" max="12" width="16" customWidth="1"/>
    <col min="13" max="13" width="12.42578125" customWidth="1"/>
    <col min="14" max="14" width="2.42578125" customWidth="1"/>
  </cols>
  <sheetData>
    <row r="1" spans="1:17" ht="13.5" customHeight="1" x14ac:dyDescent="0.25">
      <c r="A1" s="62" t="s">
        <v>0</v>
      </c>
      <c r="B1" s="62"/>
      <c r="C1" s="62"/>
      <c r="D1" s="62"/>
      <c r="E1" s="62"/>
      <c r="F1" s="62"/>
      <c r="G1" s="62"/>
      <c r="H1" s="62"/>
      <c r="I1" s="62"/>
      <c r="J1" s="62"/>
      <c r="K1" s="62"/>
      <c r="L1" s="62"/>
      <c r="M1" s="62"/>
      <c r="N1" s="62"/>
    </row>
    <row r="2" spans="1:17" ht="25.5" customHeight="1" x14ac:dyDescent="0.25">
      <c r="A2" s="63" t="s">
        <v>233</v>
      </c>
      <c r="B2" s="63"/>
      <c r="C2" s="63"/>
      <c r="D2" s="63"/>
      <c r="E2" s="63"/>
      <c r="F2" s="63"/>
      <c r="G2" s="70" t="s">
        <v>66</v>
      </c>
      <c r="H2" s="70"/>
      <c r="I2" s="70"/>
      <c r="J2" s="70"/>
      <c r="K2" s="70"/>
      <c r="L2" s="70"/>
      <c r="M2" s="70"/>
      <c r="N2" s="70"/>
    </row>
    <row r="3" spans="1:17" ht="15.75" customHeight="1" x14ac:dyDescent="0.25">
      <c r="A3" s="64" t="s">
        <v>234</v>
      </c>
      <c r="B3" s="64"/>
      <c r="C3" s="64"/>
      <c r="D3" s="64"/>
      <c r="E3" s="64"/>
      <c r="F3" s="64"/>
      <c r="G3" s="64"/>
      <c r="H3" s="64"/>
      <c r="I3" s="64"/>
      <c r="J3" s="64"/>
      <c r="K3" s="64"/>
      <c r="L3" s="64"/>
      <c r="M3" s="64"/>
      <c r="N3" s="64"/>
    </row>
    <row r="4" spans="1:17" ht="7.5" customHeight="1" x14ac:dyDescent="0.25"/>
    <row r="7" spans="1:17" ht="18.75" customHeight="1" x14ac:dyDescent="0.25">
      <c r="B7" s="66" t="s">
        <v>235</v>
      </c>
      <c r="C7" s="66"/>
      <c r="D7" s="66"/>
      <c r="E7" s="66"/>
      <c r="F7" s="66"/>
      <c r="G7" s="66"/>
      <c r="H7" s="66"/>
      <c r="I7" s="66"/>
      <c r="J7" s="66"/>
      <c r="K7" s="66"/>
      <c r="L7" s="66"/>
      <c r="M7" s="66"/>
      <c r="P7" s="9" t="s">
        <v>236</v>
      </c>
    </row>
    <row r="8" spans="1:17" ht="24" customHeight="1" x14ac:dyDescent="0.25">
      <c r="B8" s="72" t="str">
        <f>IF(Complete=1,"Every scenario is calculated from the PRICING INPUTS tab. Volume is held at the units you entered unless the scenario changes it, and no scenario assumes that demand responds to a price change.","Incomplete Inputs — required cells on the PRICING INPUTS tab are still blank, so the scenario table below stays empty until they are entered.")</f>
        <v>Every scenario is calculated from the PRICING INPUTS tab. Volume is held at the units you entered unless the scenario changes it, and no scenario assumes that demand responds to a price change.</v>
      </c>
      <c r="C8" s="72"/>
      <c r="D8" s="72"/>
      <c r="E8" s="72"/>
      <c r="F8" s="72"/>
      <c r="G8" s="72"/>
      <c r="H8" s="72"/>
      <c r="I8" s="72"/>
      <c r="J8" s="72"/>
      <c r="K8" s="72"/>
      <c r="L8" s="72"/>
      <c r="M8" s="72"/>
      <c r="P8" s="9" t="str">
        <f>$B$10</f>
        <v>Current / Base Case</v>
      </c>
      <c r="Q8" s="22">
        <f>IF(ISNUMBER($L$10),$L$10,"")</f>
        <v>10130</v>
      </c>
    </row>
    <row r="9" spans="1:17" ht="31.5" customHeight="1" x14ac:dyDescent="0.25">
      <c r="B9" s="4" t="s">
        <v>237</v>
      </c>
      <c r="C9" s="10" t="s">
        <v>238</v>
      </c>
      <c r="D9" s="10" t="s">
        <v>239</v>
      </c>
      <c r="E9" s="10" t="s">
        <v>40</v>
      </c>
      <c r="F9" s="10" t="s">
        <v>152</v>
      </c>
      <c r="G9" s="10" t="s">
        <v>240</v>
      </c>
      <c r="H9" s="10" t="s">
        <v>44</v>
      </c>
      <c r="I9" s="10" t="s">
        <v>46</v>
      </c>
      <c r="J9" s="10" t="s">
        <v>165</v>
      </c>
      <c r="K9" s="10" t="s">
        <v>50</v>
      </c>
      <c r="L9" s="10" t="s">
        <v>56</v>
      </c>
      <c r="M9" s="10" t="s">
        <v>241</v>
      </c>
      <c r="P9" s="9" t="str">
        <f>$B$11</f>
        <v>5% Price Increase</v>
      </c>
      <c r="Q9" s="22">
        <f>IF(ISNUMBER($L$11),$L$11,"")</f>
        <v>12630</v>
      </c>
    </row>
    <row r="10" spans="1:17" ht="18.75" customHeight="1" x14ac:dyDescent="0.25">
      <c r="B10" s="34" t="s">
        <v>242</v>
      </c>
      <c r="C10" s="35">
        <f>IF(OkPrice=0,"",Price)</f>
        <v>1250</v>
      </c>
      <c r="D10" s="36">
        <f>IF(OkUnits=0,"",Units)</f>
        <v>40</v>
      </c>
      <c r="E10" s="37">
        <f t="shared" ref="E10:E15" si="0">IF(OR(NOT(ISNUMBER(C10)),NOT(ISNUMBER(D10))),"",C10*D10)</f>
        <v>50000</v>
      </c>
      <c r="F10" s="35">
        <f>IF(OkVar=0,"",VarUnit)</f>
        <v>487</v>
      </c>
      <c r="G10" s="37">
        <f t="shared" ref="G10:G15" si="1">IF(OR(NOT(ISNUMBER(F10)),NOT(ISNUMBER(D10))),"",F10*D10)</f>
        <v>19480</v>
      </c>
      <c r="H10" s="35">
        <f t="shared" ref="H10:H15" si="2">IF(OR(NOT(ISNUMBER(C10)),NOT(ISNUMBER(F10))),"",C10-F10)</f>
        <v>763</v>
      </c>
      <c r="I10" s="38">
        <f t="shared" ref="I10:I15" si="3">IF(OR(NOT(ISNUMBER(H10)),NOT(ISNUMBER(C10))),"",IF(C10=0,"N/M",H10/C10))</f>
        <v>0.61040000000000005</v>
      </c>
      <c r="J10" s="37">
        <f t="shared" ref="J10:J15" si="4">IF(OR(NOT(ISNUMBER(H10)),NOT(ISNUMBER(D10))),"",H10*D10)</f>
        <v>30520</v>
      </c>
      <c r="K10" s="37">
        <f t="shared" ref="K10:K15" si="5">IF(OkFixed=0,"",FixedTotal)</f>
        <v>20390</v>
      </c>
      <c r="L10" s="37">
        <f t="shared" ref="L10:L15" si="6">IF(OR(NOT(ISNUMBER(J10)),NOT(ISNUMBER(K10))),"",J10-K10)</f>
        <v>10130</v>
      </c>
      <c r="M10" s="38">
        <f t="shared" ref="M10:M15" si="7">IF(OR(NOT(ISNUMBER(L10)),NOT(ISNUMBER(E10))),"",IF(E10=0,"N/M",L10/E10))</f>
        <v>0.2026</v>
      </c>
      <c r="P10" s="9" t="str">
        <f>$B$12</f>
        <v>10% Price Increase</v>
      </c>
      <c r="Q10" s="22">
        <f>IF(ISNUMBER($L$12),$L$12,"")</f>
        <v>15130</v>
      </c>
    </row>
    <row r="11" spans="1:17" ht="18.75" customHeight="1" x14ac:dyDescent="0.25">
      <c r="B11" s="39" t="s">
        <v>243</v>
      </c>
      <c r="C11" s="40">
        <f>IF(OkPrice=0,"",Price*1.05)</f>
        <v>1312.5</v>
      </c>
      <c r="D11" s="41">
        <f>IF(OkUnits=0,"",Units)</f>
        <v>40</v>
      </c>
      <c r="E11" s="42">
        <f t="shared" si="0"/>
        <v>52500</v>
      </c>
      <c r="F11" s="40">
        <f>IF(OkVar=0,"",VarUnit)</f>
        <v>487</v>
      </c>
      <c r="G11" s="42">
        <f t="shared" si="1"/>
        <v>19480</v>
      </c>
      <c r="H11" s="40">
        <f t="shared" si="2"/>
        <v>825.5</v>
      </c>
      <c r="I11" s="43">
        <f t="shared" si="3"/>
        <v>0.62895238095238093</v>
      </c>
      <c r="J11" s="42">
        <f t="shared" si="4"/>
        <v>33020</v>
      </c>
      <c r="K11" s="42">
        <f t="shared" si="5"/>
        <v>20390</v>
      </c>
      <c r="L11" s="42">
        <f t="shared" si="6"/>
        <v>12630</v>
      </c>
      <c r="M11" s="43">
        <f t="shared" si="7"/>
        <v>0.24057142857142857</v>
      </c>
      <c r="P11" s="9" t="str">
        <f>$B$13</f>
        <v>5% Price Decrease</v>
      </c>
      <c r="Q11" s="22">
        <f>IF(ISNUMBER($L$13),$L$13,"")</f>
        <v>7630</v>
      </c>
    </row>
    <row r="12" spans="1:17" ht="18.75" customHeight="1" x14ac:dyDescent="0.25">
      <c r="B12" s="39" t="s">
        <v>244</v>
      </c>
      <c r="C12" s="40">
        <f>IF(OkPrice=0,"",Price*1.1)</f>
        <v>1375</v>
      </c>
      <c r="D12" s="41">
        <f>IF(OkUnits=0,"",Units)</f>
        <v>40</v>
      </c>
      <c r="E12" s="42">
        <f t="shared" si="0"/>
        <v>55000</v>
      </c>
      <c r="F12" s="40">
        <f>IF(OkVar=0,"",VarUnit)</f>
        <v>487</v>
      </c>
      <c r="G12" s="42">
        <f t="shared" si="1"/>
        <v>19480</v>
      </c>
      <c r="H12" s="40">
        <f t="shared" si="2"/>
        <v>888</v>
      </c>
      <c r="I12" s="43">
        <f t="shared" si="3"/>
        <v>0.64581818181818185</v>
      </c>
      <c r="J12" s="42">
        <f t="shared" si="4"/>
        <v>35520</v>
      </c>
      <c r="K12" s="42">
        <f t="shared" si="5"/>
        <v>20390</v>
      </c>
      <c r="L12" s="42">
        <f t="shared" si="6"/>
        <v>15130</v>
      </c>
      <c r="M12" s="43">
        <f t="shared" si="7"/>
        <v>0.27509090909090911</v>
      </c>
      <c r="P12" s="9" t="str">
        <f>$B$14</f>
        <v>10% Variable Cost Increase</v>
      </c>
      <c r="Q12" s="22">
        <f>IF(ISNUMBER($L$14),$L$14,"")</f>
        <v>8182</v>
      </c>
    </row>
    <row r="13" spans="1:17" ht="18.75" customHeight="1" x14ac:dyDescent="0.25">
      <c r="B13" s="39" t="s">
        <v>245</v>
      </c>
      <c r="C13" s="40">
        <f>IF(OkPrice=0,"",Price*0.95)</f>
        <v>1187.5</v>
      </c>
      <c r="D13" s="41">
        <f>IF(OkUnits=0,"",Units)</f>
        <v>40</v>
      </c>
      <c r="E13" s="42">
        <f t="shared" si="0"/>
        <v>47500</v>
      </c>
      <c r="F13" s="40">
        <f>IF(OkVar=0,"",VarUnit)</f>
        <v>487</v>
      </c>
      <c r="G13" s="42">
        <f t="shared" si="1"/>
        <v>19480</v>
      </c>
      <c r="H13" s="40">
        <f t="shared" si="2"/>
        <v>700.5</v>
      </c>
      <c r="I13" s="43">
        <f t="shared" si="3"/>
        <v>0.58989473684210525</v>
      </c>
      <c r="J13" s="42">
        <f t="shared" si="4"/>
        <v>28020</v>
      </c>
      <c r="K13" s="42">
        <f t="shared" si="5"/>
        <v>20390</v>
      </c>
      <c r="L13" s="42">
        <f t="shared" si="6"/>
        <v>7630</v>
      </c>
      <c r="M13" s="43">
        <f t="shared" si="7"/>
        <v>0.16063157894736843</v>
      </c>
      <c r="P13" s="9" t="str">
        <f>$B$15</f>
        <v>Custom Scenario</v>
      </c>
      <c r="Q13" s="22">
        <f>IF(ISNUMBER($L$15),$L$15,"")</f>
        <v>18770</v>
      </c>
    </row>
    <row r="14" spans="1:17" ht="18.75" customHeight="1" x14ac:dyDescent="0.25">
      <c r="B14" s="39" t="s">
        <v>246</v>
      </c>
      <c r="C14" s="40">
        <f>IF(OkPrice=0,"",Price)</f>
        <v>1250</v>
      </c>
      <c r="D14" s="41">
        <f>IF(OkUnits=0,"",Units)</f>
        <v>40</v>
      </c>
      <c r="E14" s="42">
        <f t="shared" si="0"/>
        <v>50000</v>
      </c>
      <c r="F14" s="40">
        <f>IF(OkVar=0,"",VarUnit*1.1)</f>
        <v>535.70000000000005</v>
      </c>
      <c r="G14" s="42">
        <f t="shared" si="1"/>
        <v>21428</v>
      </c>
      <c r="H14" s="40">
        <f t="shared" si="2"/>
        <v>714.3</v>
      </c>
      <c r="I14" s="43">
        <f t="shared" si="3"/>
        <v>0.57143999999999995</v>
      </c>
      <c r="J14" s="42">
        <f t="shared" si="4"/>
        <v>28572</v>
      </c>
      <c r="K14" s="42">
        <f t="shared" si="5"/>
        <v>20390</v>
      </c>
      <c r="L14" s="42">
        <f t="shared" si="6"/>
        <v>8182</v>
      </c>
      <c r="M14" s="43">
        <f t="shared" si="7"/>
        <v>0.16364000000000001</v>
      </c>
    </row>
    <row r="15" spans="1:17" ht="18.75" customHeight="1" x14ac:dyDescent="0.25">
      <c r="B15" s="34" t="s">
        <v>247</v>
      </c>
      <c r="C15" s="35">
        <f>IF(ISNUMBER($C$21),$C$21,IF(OkPrice=0,"",Price))</f>
        <v>1395</v>
      </c>
      <c r="D15" s="36">
        <f>IF(ISNUMBER($C$22),$C$22,IF(OkUnits=0,"",Units))</f>
        <v>44</v>
      </c>
      <c r="E15" s="37">
        <f t="shared" si="0"/>
        <v>61380</v>
      </c>
      <c r="F15" s="35">
        <f>IF(ISNUMBER($C$23),$C$23,IF(OkVar=0,"",VarUnit))</f>
        <v>505</v>
      </c>
      <c r="G15" s="37">
        <f t="shared" si="1"/>
        <v>22220</v>
      </c>
      <c r="H15" s="35">
        <f t="shared" si="2"/>
        <v>890</v>
      </c>
      <c r="I15" s="38">
        <f t="shared" si="3"/>
        <v>0.63799283154121866</v>
      </c>
      <c r="J15" s="37">
        <f t="shared" si="4"/>
        <v>39160</v>
      </c>
      <c r="K15" s="37">
        <f t="shared" si="5"/>
        <v>20390</v>
      </c>
      <c r="L15" s="37">
        <f t="shared" si="6"/>
        <v>18770</v>
      </c>
      <c r="M15" s="38">
        <f t="shared" si="7"/>
        <v>0.30579993483219292</v>
      </c>
    </row>
    <row r="16" spans="1:17" ht="19.5" customHeight="1" x14ac:dyDescent="0.25">
      <c r="B16" s="67" t="s">
        <v>248</v>
      </c>
      <c r="C16" s="67"/>
      <c r="D16" s="67"/>
      <c r="E16" s="67"/>
      <c r="F16" s="67"/>
      <c r="G16" s="67"/>
      <c r="H16" s="67"/>
      <c r="I16" s="67"/>
      <c r="J16" s="67"/>
      <c r="K16" s="67"/>
      <c r="L16" s="67"/>
      <c r="M16" s="67"/>
    </row>
    <row r="17" spans="2:13" ht="9.75" customHeight="1" x14ac:dyDescent="0.25"/>
    <row r="18" spans="2:13" ht="18.75" customHeight="1" x14ac:dyDescent="0.25">
      <c r="B18" s="66" t="s">
        <v>249</v>
      </c>
      <c r="C18" s="66"/>
      <c r="D18" s="66"/>
      <c r="E18" s="66"/>
      <c r="F18" s="66"/>
      <c r="G18" s="66"/>
      <c r="H18" s="66"/>
      <c r="I18" s="66"/>
      <c r="J18" s="66"/>
      <c r="K18" s="66"/>
      <c r="L18" s="66"/>
      <c r="M18" s="66"/>
    </row>
    <row r="19" spans="2:13" ht="16.5" customHeight="1" x14ac:dyDescent="0.25">
      <c r="B19" s="4" t="s">
        <v>71</v>
      </c>
      <c r="C19" s="76" t="s">
        <v>250</v>
      </c>
      <c r="D19" s="76"/>
      <c r="F19" s="86" t="s">
        <v>73</v>
      </c>
      <c r="G19" s="86"/>
      <c r="H19" s="86"/>
      <c r="I19" s="86"/>
      <c r="J19" s="86"/>
      <c r="K19" s="86"/>
      <c r="L19" s="86"/>
      <c r="M19" s="86"/>
    </row>
    <row r="20" spans="2:13" ht="15.75" customHeight="1" x14ac:dyDescent="0.25">
      <c r="B20" s="67" t="s">
        <v>251</v>
      </c>
      <c r="C20" s="67"/>
      <c r="D20" s="67"/>
      <c r="E20" s="67"/>
      <c r="F20" s="67"/>
      <c r="G20" s="67"/>
      <c r="H20" s="67"/>
      <c r="I20" s="67"/>
      <c r="J20" s="67"/>
      <c r="K20" s="67"/>
      <c r="L20" s="67"/>
      <c r="M20" s="67"/>
    </row>
    <row r="21" spans="2:13" ht="18.75" customHeight="1" x14ac:dyDescent="0.25">
      <c r="B21" s="44" t="s">
        <v>252</v>
      </c>
      <c r="C21" s="85">
        <v>1395</v>
      </c>
      <c r="D21" s="85"/>
      <c r="F21" s="78" t="s">
        <v>253</v>
      </c>
      <c r="G21" s="78"/>
      <c r="H21" s="78"/>
      <c r="I21" s="78"/>
      <c r="J21" s="78"/>
      <c r="K21" s="78"/>
      <c r="L21" s="78"/>
      <c r="M21" s="78"/>
    </row>
    <row r="22" spans="2:13" ht="18.75" customHeight="1" x14ac:dyDescent="0.25">
      <c r="B22" s="44" t="s">
        <v>254</v>
      </c>
      <c r="C22" s="87">
        <v>44</v>
      </c>
      <c r="D22" s="87"/>
      <c r="F22" s="78" t="s">
        <v>255</v>
      </c>
      <c r="G22" s="78"/>
      <c r="H22" s="78"/>
      <c r="I22" s="78"/>
      <c r="J22" s="78"/>
      <c r="K22" s="78"/>
      <c r="L22" s="78"/>
      <c r="M22" s="78"/>
    </row>
    <row r="23" spans="2:13" ht="18.75" customHeight="1" x14ac:dyDescent="0.25">
      <c r="B23" s="44" t="s">
        <v>256</v>
      </c>
      <c r="C23" s="85">
        <v>505</v>
      </c>
      <c r="D23" s="85"/>
      <c r="F23" s="78" t="s">
        <v>257</v>
      </c>
      <c r="G23" s="78"/>
      <c r="H23" s="78"/>
      <c r="I23" s="78"/>
      <c r="J23" s="78"/>
      <c r="K23" s="78"/>
      <c r="L23" s="78"/>
      <c r="M23" s="78"/>
    </row>
    <row r="24" spans="2:13" ht="9.75" customHeight="1" x14ac:dyDescent="0.25"/>
    <row r="25" spans="2:13" ht="18.75" customHeight="1" x14ac:dyDescent="0.25">
      <c r="B25" s="66" t="s">
        <v>258</v>
      </c>
      <c r="C25" s="66"/>
      <c r="D25" s="66"/>
      <c r="E25" s="66"/>
      <c r="F25" s="66"/>
      <c r="G25" s="66"/>
      <c r="H25" s="66"/>
      <c r="I25" s="66"/>
      <c r="J25" s="66"/>
      <c r="K25" s="66"/>
      <c r="L25" s="66"/>
      <c r="M25" s="66"/>
    </row>
    <row r="26" spans="2:13" ht="16.5" customHeight="1" x14ac:dyDescent="0.25">
      <c r="B26" s="4" t="s">
        <v>147</v>
      </c>
      <c r="C26" s="76" t="s">
        <v>72</v>
      </c>
      <c r="D26" s="76"/>
      <c r="F26" s="86" t="s">
        <v>148</v>
      </c>
      <c r="G26" s="86"/>
      <c r="H26" s="86"/>
      <c r="I26" s="86"/>
      <c r="J26" s="86"/>
      <c r="K26" s="86"/>
      <c r="L26" s="86"/>
      <c r="M26" s="86"/>
    </row>
    <row r="27" spans="2:13" ht="18.75" customHeight="1" x14ac:dyDescent="0.25">
      <c r="B27" s="44" t="s">
        <v>259</v>
      </c>
      <c r="C27" s="83">
        <v>0.05</v>
      </c>
      <c r="D27" s="83"/>
      <c r="F27" s="78" t="s">
        <v>260</v>
      </c>
      <c r="G27" s="78"/>
      <c r="H27" s="78"/>
      <c r="I27" s="78"/>
      <c r="J27" s="78"/>
      <c r="K27" s="78"/>
      <c r="L27" s="78"/>
      <c r="M27" s="78"/>
    </row>
    <row r="28" spans="2:13" ht="18.75" customHeight="1" x14ac:dyDescent="0.25">
      <c r="B28" s="44" t="s">
        <v>261</v>
      </c>
      <c r="C28" s="84">
        <f>IF(OkPrice=0,"Incomplete Inputs",IF(NOT(ISNUMBER($C$27)),"Set Price Reduction",Price*(1-$C$27)))</f>
        <v>1187.5</v>
      </c>
      <c r="D28" s="84"/>
      <c r="F28" s="78" t="s">
        <v>262</v>
      </c>
      <c r="G28" s="78"/>
      <c r="H28" s="78"/>
      <c r="I28" s="78"/>
      <c r="J28" s="78"/>
      <c r="K28" s="78"/>
      <c r="L28" s="78"/>
      <c r="M28" s="78"/>
    </row>
    <row r="29" spans="2:13" ht="18.75" customHeight="1" x14ac:dyDescent="0.25">
      <c r="B29" s="44" t="s">
        <v>263</v>
      </c>
      <c r="C29" s="84">
        <f>IF(NOT(ISNUMBER($C$28)),$C$28,IF(OkVar=0,"Incomplete Inputs",$C$28-VarUnit))</f>
        <v>700.5</v>
      </c>
      <c r="D29" s="84"/>
      <c r="F29" s="78" t="s">
        <v>264</v>
      </c>
      <c r="G29" s="78"/>
      <c r="H29" s="78"/>
      <c r="I29" s="78"/>
      <c r="J29" s="78"/>
      <c r="K29" s="78"/>
      <c r="L29" s="78"/>
      <c r="M29" s="78"/>
    </row>
    <row r="30" spans="2:13" ht="18.75" customHeight="1" x14ac:dyDescent="0.25">
      <c r="B30" s="44" t="s">
        <v>265</v>
      </c>
      <c r="C30" s="80">
        <f>IF(CoreOK=0,"Incomplete Inputs",(Price-VarUnit)*Units)</f>
        <v>30520</v>
      </c>
      <c r="D30" s="80"/>
      <c r="F30" s="78" t="s">
        <v>266</v>
      </c>
      <c r="G30" s="78"/>
      <c r="H30" s="78"/>
      <c r="I30" s="78"/>
      <c r="J30" s="78"/>
      <c r="K30" s="78"/>
      <c r="L30" s="78"/>
      <c r="M30" s="78"/>
    </row>
    <row r="31" spans="2:13" ht="18.75" customHeight="1" x14ac:dyDescent="0.25">
      <c r="B31" s="45" t="s">
        <v>267</v>
      </c>
      <c r="C31" s="81">
        <f>IF(NOT(ISNUMBER($C$29)),$C$29,IF(NOT(ISNUMBER($C$30)),"Incomplete Inputs",IF($C$29&lt;=0,"N/M",$C$30/$C$29)))</f>
        <v>43.56887937187723</v>
      </c>
      <c r="D31" s="81"/>
      <c r="F31" s="78" t="s">
        <v>268</v>
      </c>
      <c r="G31" s="78"/>
      <c r="H31" s="78"/>
      <c r="I31" s="78"/>
      <c r="J31" s="78"/>
      <c r="K31" s="78"/>
      <c r="L31" s="78"/>
      <c r="M31" s="78"/>
    </row>
    <row r="32" spans="2:13" ht="18.75" customHeight="1" x14ac:dyDescent="0.25">
      <c r="B32" s="44" t="s">
        <v>269</v>
      </c>
      <c r="C32" s="82">
        <f>IF(NOT(ISNUMBER($C$31)),$C$31,IF(OkUnits=0,"Incomplete Inputs",$C$31-Units))</f>
        <v>3.5688793718772303</v>
      </c>
      <c r="D32" s="82"/>
      <c r="F32" s="78" t="s">
        <v>270</v>
      </c>
      <c r="G32" s="78"/>
      <c r="H32" s="78"/>
      <c r="I32" s="78"/>
      <c r="J32" s="78"/>
      <c r="K32" s="78"/>
      <c r="L32" s="78"/>
      <c r="M32" s="78"/>
    </row>
    <row r="33" spans="2:13" ht="18.75" customHeight="1" x14ac:dyDescent="0.25">
      <c r="B33" s="44" t="s">
        <v>271</v>
      </c>
      <c r="C33" s="77">
        <f>IF(NOT(ISNUMBER($C$32)),$C$32,IF(OkUnits=0,"Incomplete Inputs",IF(Units=0,"N/M",$C$32/Units)))</f>
        <v>8.9221984296930762E-2</v>
      </c>
      <c r="D33" s="77"/>
      <c r="F33" s="78" t="s">
        <v>272</v>
      </c>
      <c r="G33" s="78"/>
      <c r="H33" s="78"/>
      <c r="I33" s="78"/>
      <c r="J33" s="78"/>
      <c r="K33" s="78"/>
      <c r="L33" s="78"/>
      <c r="M33" s="78"/>
    </row>
    <row r="34" spans="2:13" ht="18.75" customHeight="1" x14ac:dyDescent="0.25">
      <c r="B34" s="44" t="s">
        <v>273</v>
      </c>
      <c r="C34" s="79" t="str">
        <f>IF(NOT(ISNUMBER(MaxCap)),"No capacity entered",IF(NOT(ISNUMBER($C$31)),$C$31,IF($C$31&lt;=MaxCap,"Within stated capacity","Above stated capacity")))</f>
        <v>Within stated capacity</v>
      </c>
      <c r="D34" s="79"/>
      <c r="F34" s="78" t="s">
        <v>274</v>
      </c>
      <c r="G34" s="78"/>
      <c r="H34" s="78"/>
      <c r="I34" s="78"/>
      <c r="J34" s="78"/>
      <c r="K34" s="78"/>
      <c r="L34" s="78"/>
      <c r="M34" s="78"/>
    </row>
    <row r="35" spans="2:13" ht="25.5" customHeight="1" x14ac:dyDescent="0.25">
      <c r="B35" s="67" t="str">
        <f>IF(OR(OkPrice=0,OkVar=0,OkUnits=0),"Complete the required inputs on the PRICING INPUTS tab. This block stays empty until the price, units and variable cost lines are entered.",IF(NOT(ISNUMBER($C$27)),"No price reduction has been entered, so no volume conclusion is drawn here. Enter a reduction above — for example 5% — to test one. A blank cell is not read as a 0% reduction.",IF($C$29&lt;0,"At the reduction entered, the new price of "&amp;TEXT($C$28,"$#,##0.00")&amp;" would sit below the variable cost per unit of "&amp;TEXT(VarUnit,"$#,##0.00")&amp;", so each unit sold would reduce contribution rather than add to it. No volume restores contribution, and the required volume reads N/M.",IF($C$29=0,"At the reduction entered, the new price of "&amp;TEXT($C$28,"$#,##0.00")&amp;" would exactly equal the variable cost per unit. Each unit would cover its own variable cost and nothing more, so no volume would preserve contribution, and the required volume reads N/M.",IF($C$27=0,"A price reduction of 0% leaves the price unchanged. The volume required to hold contribution is the volume you already sell, and no additional units are needed. This is a valid scenario, not a missing input.","This shows the volume mathematically required to preserve contribution at the lower price. It does not predict customer demand, and it is not evidence that the extra volume is available or that capacity exists to deliver it.")))))</f>
        <v>This shows the volume mathematically required to preserve contribution at the lower price. It does not predict customer demand, and it is not evidence that the extra volume is available or that capacity exists to deliver it.</v>
      </c>
      <c r="C35" s="67"/>
      <c r="D35" s="67"/>
      <c r="E35" s="67"/>
      <c r="F35" s="67"/>
      <c r="G35" s="67"/>
      <c r="H35" s="67"/>
      <c r="I35" s="67"/>
      <c r="J35" s="67"/>
      <c r="K35" s="67"/>
      <c r="L35" s="67"/>
      <c r="M35" s="67"/>
    </row>
    <row r="36" spans="2:13" ht="9.75" customHeight="1" x14ac:dyDescent="0.25"/>
    <row r="37" spans="2:13" ht="18.75" customHeight="1" x14ac:dyDescent="0.25">
      <c r="B37" s="66" t="s">
        <v>275</v>
      </c>
      <c r="C37" s="66"/>
      <c r="D37" s="66"/>
      <c r="E37" s="66"/>
      <c r="F37" s="66"/>
      <c r="G37" s="66"/>
      <c r="H37" s="66"/>
      <c r="I37" s="66"/>
      <c r="J37" s="66"/>
      <c r="K37" s="66"/>
      <c r="L37" s="66"/>
      <c r="M37" s="66"/>
    </row>
    <row r="38" spans="2:13" ht="27.75" customHeight="1" x14ac:dyDescent="0.25">
      <c r="B38" s="4" t="s">
        <v>276</v>
      </c>
      <c r="C38" s="76" t="s">
        <v>152</v>
      </c>
      <c r="D38" s="76"/>
      <c r="E38" s="76" t="s">
        <v>44</v>
      </c>
      <c r="F38" s="76"/>
      <c r="G38" s="76" t="s">
        <v>46</v>
      </c>
      <c r="H38" s="76"/>
      <c r="I38" s="76" t="s">
        <v>165</v>
      </c>
      <c r="J38" s="76"/>
      <c r="K38" s="76" t="s">
        <v>56</v>
      </c>
      <c r="L38" s="76"/>
      <c r="M38" s="76"/>
    </row>
    <row r="39" spans="2:13" ht="18.75" customHeight="1" x14ac:dyDescent="0.25">
      <c r="B39" s="39" t="s">
        <v>277</v>
      </c>
      <c r="C39" s="73">
        <f>IF(OkVar=0,"",VarUnit*(1+0.05))</f>
        <v>511.35</v>
      </c>
      <c r="D39" s="73"/>
      <c r="E39" s="73">
        <f>IF(OR(OkPrice=0,NOT(ISNUMBER($C39))),"",Price-$C39)</f>
        <v>738.65</v>
      </c>
      <c r="F39" s="73"/>
      <c r="G39" s="74">
        <f>IF(OR(NOT(ISNUMBER($E39)),OkPrice=0),"",IF(Price=0,"N/M",$E39/Price))</f>
        <v>0.59092</v>
      </c>
      <c r="H39" s="74"/>
      <c r="I39" s="75">
        <f>IF(OR(NOT(ISNUMBER($E39)),OkUnits=0),"",$E39*Units)</f>
        <v>29546</v>
      </c>
      <c r="J39" s="75"/>
      <c r="K39" s="75">
        <f>IF(OR(NOT(ISNUMBER($I39)),OkFixed=0),"",$I39-FixedTotal)</f>
        <v>9156</v>
      </c>
      <c r="L39" s="75"/>
      <c r="M39" s="75"/>
    </row>
    <row r="40" spans="2:13" ht="18.75" customHeight="1" x14ac:dyDescent="0.25">
      <c r="B40" s="39" t="s">
        <v>278</v>
      </c>
      <c r="C40" s="73">
        <f>IF(OkVar=0,"",VarUnit*(1+0.1))</f>
        <v>535.70000000000005</v>
      </c>
      <c r="D40" s="73"/>
      <c r="E40" s="73">
        <f>IF(OR(OkPrice=0,NOT(ISNUMBER($C40))),"",Price-$C40)</f>
        <v>714.3</v>
      </c>
      <c r="F40" s="73"/>
      <c r="G40" s="74">
        <f>IF(OR(NOT(ISNUMBER($E40)),OkPrice=0),"",IF(Price=0,"N/M",$E40/Price))</f>
        <v>0.57143999999999995</v>
      </c>
      <c r="H40" s="74"/>
      <c r="I40" s="75">
        <f>IF(OR(NOT(ISNUMBER($E40)),OkUnits=0),"",$E40*Units)</f>
        <v>28572</v>
      </c>
      <c r="J40" s="75"/>
      <c r="K40" s="75">
        <f>IF(OR(NOT(ISNUMBER($I40)),OkFixed=0),"",$I40-FixedTotal)</f>
        <v>8182</v>
      </c>
      <c r="L40" s="75"/>
      <c r="M40" s="75"/>
    </row>
    <row r="41" spans="2:13" ht="18.75" customHeight="1" x14ac:dyDescent="0.25">
      <c r="B41" s="39" t="s">
        <v>279</v>
      </c>
      <c r="C41" s="73">
        <f>IF(OkVar=0,"",VarUnit*(1+0.15))</f>
        <v>560.04999999999995</v>
      </c>
      <c r="D41" s="73"/>
      <c r="E41" s="73">
        <f>IF(OR(OkPrice=0,NOT(ISNUMBER($C41))),"",Price-$C41)</f>
        <v>689.95</v>
      </c>
      <c r="F41" s="73"/>
      <c r="G41" s="74">
        <f>IF(OR(NOT(ISNUMBER($E41)),OkPrice=0),"",IF(Price=0,"N/M",$E41/Price))</f>
        <v>0.55196000000000001</v>
      </c>
      <c r="H41" s="74"/>
      <c r="I41" s="75">
        <f>IF(OR(NOT(ISNUMBER($E41)),OkUnits=0),"",$E41*Units)</f>
        <v>27598</v>
      </c>
      <c r="J41" s="75"/>
      <c r="K41" s="75">
        <f>IF(OR(NOT(ISNUMBER($I41)),OkFixed=0),"",$I41-FixedTotal)</f>
        <v>7208</v>
      </c>
      <c r="L41" s="75"/>
      <c r="M41" s="75"/>
    </row>
    <row r="42" spans="2:13" ht="18" customHeight="1" x14ac:dyDescent="0.25">
      <c r="B42" s="67" t="s">
        <v>280</v>
      </c>
      <c r="C42" s="67"/>
      <c r="D42" s="67"/>
      <c r="E42" s="67"/>
      <c r="F42" s="67"/>
      <c r="G42" s="67"/>
      <c r="H42" s="67"/>
      <c r="I42" s="67"/>
      <c r="J42" s="67"/>
      <c r="K42" s="67"/>
      <c r="L42" s="67"/>
      <c r="M42" s="67"/>
    </row>
    <row r="44" spans="2:13" ht="13.5" customHeight="1" x14ac:dyDescent="0.25">
      <c r="B44" s="69" t="s">
        <v>281</v>
      </c>
      <c r="C44" s="69"/>
      <c r="D44" s="69"/>
      <c r="E44" s="69"/>
      <c r="F44" s="69"/>
      <c r="G44" s="69"/>
      <c r="H44" s="69"/>
      <c r="I44" s="69"/>
      <c r="J44" s="69"/>
      <c r="K44" s="69"/>
      <c r="L44" s="69"/>
      <c r="M44" s="69"/>
    </row>
  </sheetData>
  <sheetProtection sheet="1" formatCells="0" formatColumns="0" formatRows="0"/>
  <mergeCells count="60">
    <mergeCell ref="A1:N1"/>
    <mergeCell ref="A2:F2"/>
    <mergeCell ref="G2:N2"/>
    <mergeCell ref="A3:N3"/>
    <mergeCell ref="B7:M7"/>
    <mergeCell ref="B8:M8"/>
    <mergeCell ref="B16:M16"/>
    <mergeCell ref="B18:M18"/>
    <mergeCell ref="C19:D19"/>
    <mergeCell ref="F19:M19"/>
    <mergeCell ref="B20:M20"/>
    <mergeCell ref="C21:D21"/>
    <mergeCell ref="F21:M21"/>
    <mergeCell ref="C22:D22"/>
    <mergeCell ref="F22:M22"/>
    <mergeCell ref="C23:D23"/>
    <mergeCell ref="F23:M23"/>
    <mergeCell ref="B25:M25"/>
    <mergeCell ref="C26:D26"/>
    <mergeCell ref="F26:M26"/>
    <mergeCell ref="C27:D27"/>
    <mergeCell ref="F27:M27"/>
    <mergeCell ref="C28:D28"/>
    <mergeCell ref="F28:M28"/>
    <mergeCell ref="C29:D29"/>
    <mergeCell ref="F29:M29"/>
    <mergeCell ref="C30:D30"/>
    <mergeCell ref="F30:M30"/>
    <mergeCell ref="C31:D31"/>
    <mergeCell ref="F31:M31"/>
    <mergeCell ref="C32:D32"/>
    <mergeCell ref="F32:M32"/>
    <mergeCell ref="C33:D33"/>
    <mergeCell ref="F33:M33"/>
    <mergeCell ref="C34:D34"/>
    <mergeCell ref="F34:M34"/>
    <mergeCell ref="B35:M35"/>
    <mergeCell ref="B37:M37"/>
    <mergeCell ref="C38:D38"/>
    <mergeCell ref="E38:F38"/>
    <mergeCell ref="G38:H38"/>
    <mergeCell ref="I38:J38"/>
    <mergeCell ref="K38:M38"/>
    <mergeCell ref="C39:D39"/>
    <mergeCell ref="E39:F39"/>
    <mergeCell ref="G39:H39"/>
    <mergeCell ref="I39:J39"/>
    <mergeCell ref="K39:M39"/>
    <mergeCell ref="C40:D40"/>
    <mergeCell ref="E40:F40"/>
    <mergeCell ref="G40:H40"/>
    <mergeCell ref="I40:J40"/>
    <mergeCell ref="K40:M40"/>
    <mergeCell ref="B42:M42"/>
    <mergeCell ref="B44:M44"/>
    <mergeCell ref="C41:D41"/>
    <mergeCell ref="E41:F41"/>
    <mergeCell ref="G41:H41"/>
    <mergeCell ref="I41:J41"/>
    <mergeCell ref="K41:M41"/>
  </mergeCells>
  <pageMargins left="0.35" right="0.35" top="0.4" bottom="0.4" header="0.511811023622047" footer="0.511811023622047"/>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27"/>
  <sheetViews>
    <sheetView showGridLines="0" zoomScaleNormal="100" workbookViewId="0">
      <selection activeCell="E11" sqref="E11"/>
    </sheetView>
  </sheetViews>
  <sheetFormatPr defaultColWidth="8.7109375" defaultRowHeight="15" x14ac:dyDescent="0.25"/>
  <cols>
    <col min="1" max="1" width="2.42578125" customWidth="1"/>
    <col min="2" max="2" width="30" customWidth="1"/>
    <col min="3" max="3" width="14" customWidth="1"/>
    <col min="4" max="4" width="11" customWidth="1"/>
    <col min="5" max="5" width="16" customWidth="1"/>
    <col min="6" max="6" width="15" customWidth="1"/>
    <col min="7" max="7" width="16" customWidth="1"/>
    <col min="8" max="8" width="13" customWidth="1"/>
    <col min="9" max="9" width="17" customWidth="1"/>
    <col min="10" max="11" width="13" customWidth="1"/>
    <col min="12" max="12" width="2.42578125" customWidth="1"/>
  </cols>
  <sheetData>
    <row r="1" spans="1:21" ht="13.5" customHeight="1" x14ac:dyDescent="0.25">
      <c r="A1" s="62" t="s">
        <v>0</v>
      </c>
      <c r="B1" s="62"/>
      <c r="C1" s="62"/>
      <c r="D1" s="62"/>
      <c r="E1" s="62"/>
      <c r="F1" s="62"/>
      <c r="G1" s="62"/>
      <c r="H1" s="62"/>
      <c r="I1" s="62"/>
      <c r="J1" s="62"/>
      <c r="K1" s="62"/>
      <c r="L1" s="62"/>
    </row>
    <row r="2" spans="1:21" ht="25.5" customHeight="1" x14ac:dyDescent="0.25">
      <c r="A2" s="63" t="s">
        <v>282</v>
      </c>
      <c r="B2" s="63"/>
      <c r="C2" s="63"/>
      <c r="D2" s="63"/>
      <c r="E2" s="63"/>
      <c r="F2" s="63"/>
      <c r="G2" s="70" t="s">
        <v>66</v>
      </c>
      <c r="H2" s="70"/>
      <c r="I2" s="70"/>
      <c r="J2" s="70"/>
      <c r="K2" s="70"/>
      <c r="L2" s="70"/>
    </row>
    <row r="3" spans="1:21" ht="15.75" customHeight="1" x14ac:dyDescent="0.25">
      <c r="A3" s="64" t="s">
        <v>283</v>
      </c>
      <c r="B3" s="64"/>
      <c r="C3" s="64"/>
      <c r="D3" s="64"/>
      <c r="E3" s="64"/>
      <c r="F3" s="64"/>
      <c r="G3" s="64"/>
      <c r="H3" s="64"/>
      <c r="I3" s="64"/>
      <c r="J3" s="64"/>
      <c r="K3" s="64"/>
      <c r="L3" s="64"/>
    </row>
    <row r="4" spans="1:21" ht="7.5" customHeight="1" x14ac:dyDescent="0.25"/>
    <row r="7" spans="1:21" ht="18.75" customHeight="1" x14ac:dyDescent="0.25">
      <c r="B7" s="66" t="s">
        <v>284</v>
      </c>
      <c r="C7" s="66"/>
      <c r="D7" s="66"/>
      <c r="E7" s="66"/>
      <c r="F7" s="66"/>
      <c r="G7" s="66"/>
      <c r="H7" s="66"/>
      <c r="I7" s="66"/>
      <c r="J7" s="66"/>
      <c r="K7" s="66"/>
    </row>
    <row r="8" spans="1:21" ht="30" customHeight="1" x14ac:dyDescent="0.25">
      <c r="B8" s="71" t="s">
        <v>285</v>
      </c>
      <c r="C8" s="71"/>
      <c r="D8" s="71"/>
      <c r="E8" s="71"/>
      <c r="F8" s="71"/>
      <c r="G8" s="71"/>
      <c r="H8" s="71"/>
      <c r="I8" s="71"/>
      <c r="J8" s="71"/>
      <c r="K8" s="71"/>
      <c r="R8" s="9" t="s">
        <v>286</v>
      </c>
      <c r="S8" s="9" t="s">
        <v>287</v>
      </c>
      <c r="T8" s="9" t="s">
        <v>288</v>
      </c>
      <c r="U8" s="9" t="s">
        <v>289</v>
      </c>
    </row>
    <row r="9" spans="1:21" ht="31.5" customHeight="1" x14ac:dyDescent="0.25">
      <c r="B9" s="4" t="s">
        <v>290</v>
      </c>
      <c r="C9" s="10" t="s">
        <v>238</v>
      </c>
      <c r="D9" s="10" t="s">
        <v>291</v>
      </c>
      <c r="E9" s="10" t="s">
        <v>152</v>
      </c>
      <c r="F9" s="10" t="s">
        <v>40</v>
      </c>
      <c r="G9" s="10" t="s">
        <v>44</v>
      </c>
      <c r="H9" s="10" t="s">
        <v>46</v>
      </c>
      <c r="I9" s="10" t="s">
        <v>292</v>
      </c>
      <c r="J9" s="10" t="s">
        <v>293</v>
      </c>
      <c r="K9" s="10" t="s">
        <v>294</v>
      </c>
      <c r="N9" s="9" t="s">
        <v>295</v>
      </c>
      <c r="S9" s="11">
        <f>IF(COUNTIF($R$10:$R$15,2)&gt;0,1,0)</f>
        <v>0</v>
      </c>
    </row>
    <row r="10" spans="1:21" ht="19.5" customHeight="1" x14ac:dyDescent="0.25">
      <c r="B10" s="13" t="s">
        <v>80</v>
      </c>
      <c r="C10" s="15">
        <v>1250</v>
      </c>
      <c r="D10" s="16">
        <v>40</v>
      </c>
      <c r="E10" s="15">
        <v>487</v>
      </c>
      <c r="F10" s="42">
        <f>IF($R$10=2,"Incomplete",IF($R$10=0,"",C10*D10))</f>
        <v>50000</v>
      </c>
      <c r="G10" s="40">
        <f>IF($R$10&lt;&gt;1,"",C10-E10)</f>
        <v>763</v>
      </c>
      <c r="H10" s="43">
        <f>IF($R$10&lt;&gt;1,"",IF(C10=0,"N/M",G10/C10))</f>
        <v>0.61040000000000005</v>
      </c>
      <c r="I10" s="42">
        <f>IF($R$10&lt;&gt;1,"",G10*D10)</f>
        <v>30520</v>
      </c>
      <c r="J10" s="43">
        <f>IF($R$10&lt;&gt;1,"",IF(NOT(ISNUMBER($F$16)),"",IF($F$16=0,"N/M",F10/$F$16)))</f>
        <v>0.49394912324030626</v>
      </c>
      <c r="K10" s="43">
        <f>IF($R$10&lt;&gt;1,"",IF(NOT(ISNUMBER($I$16)),"",IF($I$16=0,"N/M",I10/$I$16)))</f>
        <v>0.51428089982306846</v>
      </c>
      <c r="N10" s="46">
        <f>IF($S$9=1,"",IF(AND($R$10=1,ISNUMBER(F10)),F10-ROW()/1000000,""))</f>
        <v>49999.999989999997</v>
      </c>
      <c r="O10" s="46">
        <f>IF($S$9=1,"",IF(AND($R$10=1,ISNUMBER(I10)),I10-ROW()/1000000,""))</f>
        <v>30519.99999</v>
      </c>
      <c r="P10" s="46">
        <f>IF($S$9=1,"",IF(AND($R$10=1,ISNUMBER(H10)),H10-ROW()/10000000,""))</f>
        <v>0.61039900000000002</v>
      </c>
      <c r="R10" s="11">
        <f t="shared" ref="R10:R15" si="0">IF(COUNT(C10:E10)=3,1,IF(AND(COUNT(C10:E10)=0,B10=""),0,2))</f>
        <v>1</v>
      </c>
      <c r="S10" s="11">
        <f>COUNTIF($R$10:$R$15,1)</f>
        <v>5</v>
      </c>
      <c r="T10" s="9" t="str">
        <f>IF($S$9=1,"",IF($R$10=1,IF($B$10="","(unnamed row)",$B$10),""))</f>
        <v>Monthly Service Package</v>
      </c>
      <c r="U10" s="22">
        <f>IF($S$9=1,"",IF($R$10=1,$I$10,""))</f>
        <v>30520</v>
      </c>
    </row>
    <row r="11" spans="1:21" ht="19.5" customHeight="1" x14ac:dyDescent="0.25">
      <c r="B11" s="13" t="s">
        <v>296</v>
      </c>
      <c r="C11" s="15">
        <v>2400</v>
      </c>
      <c r="D11" s="16">
        <v>6</v>
      </c>
      <c r="E11" s="15">
        <v>980</v>
      </c>
      <c r="F11" s="42">
        <f>IF($R$11=2,"Incomplete",IF($R$11=0,"",C11*D11))</f>
        <v>14400</v>
      </c>
      <c r="G11" s="40">
        <f>IF($R$11&lt;&gt;1,"",C11-E11)</f>
        <v>1420</v>
      </c>
      <c r="H11" s="43">
        <f>IF($R$11&lt;&gt;1,"",IF(C11=0,"N/M",G11/C11))</f>
        <v>0.59166666666666667</v>
      </c>
      <c r="I11" s="42">
        <f>IF($R$11&lt;&gt;1,"",G11*D11)</f>
        <v>8520</v>
      </c>
      <c r="J11" s="43">
        <f>IF($R$11&lt;&gt;1,"",IF(NOT(ISNUMBER($F$16)),"",IF($F$16=0,"N/M",F11/$F$16)))</f>
        <v>0.1422573474932082</v>
      </c>
      <c r="K11" s="43">
        <f>IF($R$11&lt;&gt;1,"",IF(NOT(ISNUMBER($I$16)),"",IF($I$16=0,"N/M",I11/$I$16)))</f>
        <v>0.14356727609739658</v>
      </c>
      <c r="N11" s="46">
        <f>IF($S$9=1,"",IF(AND($R$11=1,ISNUMBER(F11)),F11-ROW()/1000000,""))</f>
        <v>14399.999989</v>
      </c>
      <c r="O11" s="46">
        <f>IF($S$9=1,"",IF(AND($R$11=1,ISNUMBER(I11)),I11-ROW()/1000000,""))</f>
        <v>8519.9999889999999</v>
      </c>
      <c r="P11" s="46">
        <f>IF($S$9=1,"",IF(AND($R$11=1,ISNUMBER(H11)),H11-ROW()/10000000,""))</f>
        <v>0.5916655666666667</v>
      </c>
      <c r="R11" s="11">
        <f t="shared" si="0"/>
        <v>1</v>
      </c>
      <c r="T11" s="9" t="str">
        <f>IF($S$9=1,"",IF($R$11=1,IF($B$11="","(unnamed row)",$B$11),""))</f>
        <v>Onboarding &amp; Setup</v>
      </c>
      <c r="U11" s="22">
        <f>IF($S$9=1,"",IF($R$11=1,$I$11,""))</f>
        <v>8520</v>
      </c>
    </row>
    <row r="12" spans="1:21" ht="19.5" customHeight="1" x14ac:dyDescent="0.25">
      <c r="B12" s="13" t="s">
        <v>297</v>
      </c>
      <c r="C12" s="15">
        <v>275</v>
      </c>
      <c r="D12" s="16">
        <v>55</v>
      </c>
      <c r="E12" s="15">
        <v>96</v>
      </c>
      <c r="F12" s="42">
        <f>IF($R$12=2,"Incomplete",IF($R$12=0,"",C12*D12))</f>
        <v>15125</v>
      </c>
      <c r="G12" s="40">
        <f>IF($R$12&lt;&gt;1,"",C12-E12)</f>
        <v>179</v>
      </c>
      <c r="H12" s="43">
        <f>IF($R$12&lt;&gt;1,"",IF(C12=0,"N/M",G12/C12))</f>
        <v>0.65090909090909088</v>
      </c>
      <c r="I12" s="42">
        <f>IF($R$12&lt;&gt;1,"",G12*D12)</f>
        <v>9845</v>
      </c>
      <c r="J12" s="43">
        <f>IF($R$12&lt;&gt;1,"",IF(NOT(ISNUMBER($F$16)),"",IF($F$16=0,"N/M",F12/$F$16)))</f>
        <v>0.14941960978019264</v>
      </c>
      <c r="K12" s="43">
        <f>IF($R$12&lt;&gt;1,"",IF(NOT(ISNUMBER($I$16)),"",IF($I$16=0,"N/M",I12/$I$16)))</f>
        <v>0.16589434661723818</v>
      </c>
      <c r="N12" s="46">
        <f>IF($S$9=1,"",IF(AND($R$12=1,ISNUMBER(F12)),F12-ROW()/1000000,""))</f>
        <v>15124.999988</v>
      </c>
      <c r="O12" s="46">
        <f>IF($S$9=1,"",IF(AND($R$12=1,ISNUMBER(I12)),I12-ROW()/1000000,""))</f>
        <v>9844.9999879999996</v>
      </c>
      <c r="P12" s="46">
        <f>IF($S$9=1,"",IF(AND($R$12=1,ISNUMBER(H12)),H12-ROW()/10000000,""))</f>
        <v>0.65090789090909085</v>
      </c>
      <c r="R12" s="11">
        <f t="shared" si="0"/>
        <v>1</v>
      </c>
      <c r="T12" s="9" t="str">
        <f>IF($S$9=1,"",IF($R$12=1,IF($B$12="","(unnamed row)",$B$12),""))</f>
        <v>Advisory Session (hourly)</v>
      </c>
      <c r="U12" s="22">
        <f>IF($S$9=1,"",IF($R$12=1,$I$12,""))</f>
        <v>9845</v>
      </c>
    </row>
    <row r="13" spans="1:21" ht="19.5" customHeight="1" x14ac:dyDescent="0.25">
      <c r="B13" s="13" t="s">
        <v>298</v>
      </c>
      <c r="C13" s="15">
        <v>850</v>
      </c>
      <c r="D13" s="16">
        <v>18</v>
      </c>
      <c r="E13" s="15">
        <v>430</v>
      </c>
      <c r="F13" s="42">
        <f>IF($R$13=2,"Incomplete",IF($R$13=0,"",C13*D13))</f>
        <v>15300</v>
      </c>
      <c r="G13" s="40">
        <f>IF($R$13&lt;&gt;1,"",C13-E13)</f>
        <v>420</v>
      </c>
      <c r="H13" s="43">
        <f>IF($R$13&lt;&gt;1,"",IF(C13=0,"N/M",G13/C13))</f>
        <v>0.49411764705882355</v>
      </c>
      <c r="I13" s="42">
        <f>IF($R$13&lt;&gt;1,"",G13*D13)</f>
        <v>7560</v>
      </c>
      <c r="J13" s="43">
        <f>IF($R$13&lt;&gt;1,"",IF(NOT(ISNUMBER($F$16)),"",IF($F$16=0,"N/M",F13/$F$16)))</f>
        <v>0.15114843171153372</v>
      </c>
      <c r="K13" s="43">
        <f>IF($R$13&lt;&gt;1,"",IF(NOT(ISNUMBER($I$16)),"",IF($I$16=0,"N/M",I13/$I$16)))</f>
        <v>0.12739068160754907</v>
      </c>
      <c r="N13" s="46">
        <f>IF($S$9=1,"",IF(AND($R$13=1,ISNUMBER(F13)),F13-ROW()/1000000,""))</f>
        <v>15299.999986999999</v>
      </c>
      <c r="O13" s="46">
        <f>IF($S$9=1,"",IF(AND($R$13=1,ISNUMBER(I13)),I13-ROW()/1000000,""))</f>
        <v>7559.9999870000001</v>
      </c>
      <c r="P13" s="46">
        <f>IF($S$9=1,"",IF(AND($R$13=1,ISNUMBER(H13)),H13-ROW()/10000000,""))</f>
        <v>0.49411634705882357</v>
      </c>
      <c r="R13" s="11">
        <f t="shared" si="0"/>
        <v>1</v>
      </c>
      <c r="T13" s="9" t="str">
        <f>IF($S$9=1,"",IF($R$13=1,IF($B$13="","(unnamed row)",$B$13),""))</f>
        <v>Compliance Filing</v>
      </c>
      <c r="U13" s="22">
        <f>IF($S$9=1,"",IF($R$13=1,$I$13,""))</f>
        <v>7560</v>
      </c>
    </row>
    <row r="14" spans="1:21" ht="19.5" customHeight="1" x14ac:dyDescent="0.25">
      <c r="B14" s="13" t="s">
        <v>299</v>
      </c>
      <c r="C14" s="15">
        <v>3200</v>
      </c>
      <c r="D14" s="16">
        <v>2</v>
      </c>
      <c r="E14" s="15">
        <v>1750</v>
      </c>
      <c r="F14" s="42">
        <f>IF($R$14=2,"Incomplete",IF($R$14=0,"",C14*D14))</f>
        <v>6400</v>
      </c>
      <c r="G14" s="40">
        <f>IF($R$14&lt;&gt;1,"",C14-E14)</f>
        <v>1450</v>
      </c>
      <c r="H14" s="43">
        <f>IF($R$14&lt;&gt;1,"",IF(C14=0,"N/M",G14/C14))</f>
        <v>0.453125</v>
      </c>
      <c r="I14" s="42">
        <f>IF($R$14&lt;&gt;1,"",G14*D14)</f>
        <v>2900</v>
      </c>
      <c r="J14" s="43">
        <f>IF($R$14&lt;&gt;1,"",IF(NOT(ISNUMBER($F$16)),"",IF($F$16=0,"N/M",F14/$F$16)))</f>
        <v>6.3225487774759198E-2</v>
      </c>
      <c r="K14" s="43">
        <f>IF($R$14&lt;&gt;1,"",IF(NOT(ISNUMBER($I$16)),"",IF($I$16=0,"N/M",I14/$I$16)))</f>
        <v>4.8866795854747659E-2</v>
      </c>
      <c r="N14" s="46">
        <f>IF($S$9=1,"",IF(AND($R$14=1,ISNUMBER(F14)),F14-ROW()/1000000,""))</f>
        <v>6399.9999859999998</v>
      </c>
      <c r="O14" s="46">
        <f>IF($S$9=1,"",IF(AND($R$14=1,ISNUMBER(I14)),I14-ROW()/1000000,""))</f>
        <v>2899.9999859999998</v>
      </c>
      <c r="P14" s="46">
        <f>IF($S$9=1,"",IF(AND($R$14=1,ISNUMBER(H14)),H14-ROW()/10000000,""))</f>
        <v>0.45312360000000002</v>
      </c>
      <c r="R14" s="11">
        <f t="shared" si="0"/>
        <v>1</v>
      </c>
      <c r="T14" s="9" t="str">
        <f>IF($S$9=1,"",IF($R$14=1,IF($B$14="","(unnamed row)",$B$14),""))</f>
        <v>Training Workshop</v>
      </c>
      <c r="U14" s="22">
        <f>IF($S$9=1,"",IF($R$14=1,$I$14,""))</f>
        <v>2900</v>
      </c>
    </row>
    <row r="15" spans="1:21" ht="19.5" customHeight="1" x14ac:dyDescent="0.25">
      <c r="B15" s="13"/>
      <c r="C15" s="15"/>
      <c r="D15" s="16"/>
      <c r="E15" s="15"/>
      <c r="F15" s="42" t="str">
        <f>IF($R$15=2,"Incomplete",IF($R$15=0,"",C15*D15))</f>
        <v/>
      </c>
      <c r="G15" s="40" t="str">
        <f>IF($R$15&lt;&gt;1,"",C15-E15)</f>
        <v/>
      </c>
      <c r="H15" s="43" t="str">
        <f>IF($R$15&lt;&gt;1,"",IF(C15=0,"N/M",G15/C15))</f>
        <v/>
      </c>
      <c r="I15" s="42" t="str">
        <f>IF($R$15&lt;&gt;1,"",G15*D15)</f>
        <v/>
      </c>
      <c r="J15" s="43" t="str">
        <f>IF($R$15&lt;&gt;1,"",IF(NOT(ISNUMBER($F$16)),"",IF($F$16=0,"N/M",F15/$F$16)))</f>
        <v/>
      </c>
      <c r="K15" s="43" t="str">
        <f>IF($R$15&lt;&gt;1,"",IF(NOT(ISNUMBER($I$16)),"",IF($I$16=0,"N/M",I15/$I$16)))</f>
        <v/>
      </c>
      <c r="N15" s="46" t="str">
        <f>IF($S$9=1,"",IF(AND($R$15=1,ISNUMBER(F15)),F15-ROW()/1000000,""))</f>
        <v/>
      </c>
      <c r="O15" s="46" t="str">
        <f>IF($S$9=1,"",IF(AND($R$15=1,ISNUMBER(I15)),I15-ROW()/1000000,""))</f>
        <v/>
      </c>
      <c r="P15" s="46" t="str">
        <f>IF($S$9=1,"",IF(AND($R$15=1,ISNUMBER(H15)),H15-ROW()/10000000,""))</f>
        <v/>
      </c>
      <c r="R15" s="11">
        <f t="shared" si="0"/>
        <v>0</v>
      </c>
      <c r="T15" s="9" t="str">
        <f>IF($S$9=1,"",IF($R$15=1,IF($B$15="","(unnamed row)",$B$15),""))</f>
        <v/>
      </c>
      <c r="U15" s="22" t="str">
        <f>IF($S$9=1,"",IF($R$15=1,$I$15,""))</f>
        <v/>
      </c>
    </row>
    <row r="16" spans="1:21" ht="21.75" customHeight="1" x14ac:dyDescent="0.25">
      <c r="B16" s="47" t="s">
        <v>300</v>
      </c>
      <c r="C16" s="48" t="str">
        <f>"—"</f>
        <v>—</v>
      </c>
      <c r="D16" s="49">
        <f>IF($S$9=1,"Incomplete",IF(COUNT(D10:D15)=0,"",SUM(D10:D15)))</f>
        <v>121</v>
      </c>
      <c r="E16" s="48" t="str">
        <f>"—"</f>
        <v>—</v>
      </c>
      <c r="F16" s="50">
        <f>IF($S$9=1,"Incomplete",IF(COUNT(F10:F15)=0,"",SUM(F10:F15)))</f>
        <v>101225</v>
      </c>
      <c r="G16" s="48" t="str">
        <f>"—"</f>
        <v>—</v>
      </c>
      <c r="H16" s="51">
        <f>IF($S$9=1,"Incomplete",IF(OR(NOT(ISNUMBER($F$16)),NOT(ISNUMBER($I$16))),"",IF($F$16=0,"N/M",$I$16/$F$16)))</f>
        <v>0.58626821437391952</v>
      </c>
      <c r="I16" s="50">
        <f>IF($S$9=1,"Incomplete",IF(COUNT(I10:I15)=0,"",SUM(I10:I15)))</f>
        <v>59345</v>
      </c>
      <c r="J16" s="51">
        <f>IF($S$9=1,"Incomplete",IF(COUNT(J10:J15)=0,"",SUM(J10:J15)))</f>
        <v>1</v>
      </c>
      <c r="K16" s="51">
        <f>IF($S$9=1,"Incomplete",IF(COUNT(K10:K15)=0,"",SUM(K10:K15)))</f>
        <v>1</v>
      </c>
    </row>
    <row r="17" spans="2:11" ht="24" customHeight="1" x14ac:dyDescent="0.25">
      <c r="B17" s="67" t="str">
        <f>IF($S$9=1,"Incomplete Inputs — "&amp;TEXT(COUNTIF($R$10:$R$15,2),"0")&amp;" row(s) above have some figures entered but not all of selling price, units and variable cost per unit. "&amp;"Totals, revenue and contribution shares, the rankings below and the mix chart on the dashboard are withheld until each of those rows is completed or cleared. A blank cost cell is not read as zero.","The TOTAL contribution margin is the blended margin across everything entered — total contribution divided by total revenue — not an average of the individual margins.")</f>
        <v>The TOTAL contribution margin is the blended margin across everything entered — total contribution divided by total revenue — not an average of the individual margins.</v>
      </c>
      <c r="C17" s="67"/>
      <c r="D17" s="67"/>
      <c r="E17" s="67"/>
      <c r="F17" s="67"/>
      <c r="G17" s="67"/>
      <c r="H17" s="67"/>
      <c r="I17" s="67"/>
      <c r="J17" s="67"/>
      <c r="K17" s="67"/>
    </row>
    <row r="18" spans="2:11" ht="9.75" customHeight="1" x14ac:dyDescent="0.25"/>
    <row r="19" spans="2:11" ht="18.75" customHeight="1" x14ac:dyDescent="0.25">
      <c r="B19" s="66" t="s">
        <v>301</v>
      </c>
      <c r="C19" s="66"/>
      <c r="D19" s="66"/>
      <c r="E19" s="66"/>
      <c r="F19" s="66"/>
      <c r="G19" s="66"/>
      <c r="H19" s="66"/>
      <c r="I19" s="66"/>
      <c r="J19" s="66"/>
      <c r="K19" s="66"/>
    </row>
    <row r="20" spans="2:11" ht="16.5" customHeight="1" x14ac:dyDescent="0.25">
      <c r="B20" s="4" t="s">
        <v>302</v>
      </c>
      <c r="C20" s="86" t="s">
        <v>290</v>
      </c>
      <c r="D20" s="86"/>
      <c r="E20" s="86"/>
      <c r="F20" s="86"/>
      <c r="G20" s="76" t="s">
        <v>72</v>
      </c>
      <c r="H20" s="76"/>
      <c r="I20" s="86" t="s">
        <v>303</v>
      </c>
      <c r="J20" s="86"/>
      <c r="K20" s="86"/>
    </row>
    <row r="21" spans="2:11" ht="18.75" customHeight="1" x14ac:dyDescent="0.25">
      <c r="B21" s="52" t="s">
        <v>304</v>
      </c>
      <c r="C21" s="88" t="str">
        <f>IF($S$9=1,"Incomplete Inputs",IFERROR(IF(INDEX($B$10:$B$15,MATCH(LARGE($N$10:$N$15,1),$N$10:$N$15,0))="","(unnamed row)",INDEX($B$10:$B$15,MATCH(LARGE($N$10:$N$15,1),$N$10:$N$15,0))),"—"))</f>
        <v>Monthly Service Package</v>
      </c>
      <c r="D21" s="88"/>
      <c r="E21" s="88"/>
      <c r="F21" s="88"/>
      <c r="G21" s="89">
        <f>IF($S$9=1,"",IFERROR(INDEX($J$10:$J$15,MATCH(LARGE($N$10:$N$15,1),$N$10:$N$15,0)),"—"))</f>
        <v>0.49394912324030626</v>
      </c>
      <c r="H21" s="89"/>
      <c r="I21" s="90" t="s">
        <v>305</v>
      </c>
      <c r="J21" s="90"/>
      <c r="K21" s="90"/>
    </row>
    <row r="22" spans="2:11" ht="18.75" customHeight="1" x14ac:dyDescent="0.25">
      <c r="B22" s="52" t="s">
        <v>306</v>
      </c>
      <c r="C22" s="88" t="str">
        <f>IF($S$9=1,"Incomplete Inputs",IFERROR(IF(INDEX($B$10:$B$15,MATCH(LARGE($O$10:$O$15,1),$O$10:$O$15,0))="","(unnamed row)",INDEX($B$10:$B$15,MATCH(LARGE($O$10:$O$15,1),$O$10:$O$15,0))),"—"))</f>
        <v>Monthly Service Package</v>
      </c>
      <c r="D22" s="88"/>
      <c r="E22" s="88"/>
      <c r="F22" s="88"/>
      <c r="G22" s="91">
        <f>IF($S$9=1,"",IFERROR(INDEX($I$10:$I$15,MATCH(LARGE($O$10:$O$15,1),$O$10:$O$15,0)),"—"))</f>
        <v>30520</v>
      </c>
      <c r="H22" s="91"/>
      <c r="I22" s="90" t="s">
        <v>307</v>
      </c>
      <c r="J22" s="90"/>
      <c r="K22" s="90"/>
    </row>
    <row r="23" spans="2:11" ht="18.75" customHeight="1" x14ac:dyDescent="0.25">
      <c r="B23" s="52" t="s">
        <v>308</v>
      </c>
      <c r="C23" s="88" t="str">
        <f>IF($S$9=1,"Incomplete Inputs",IFERROR(IF(INDEX($B$10:$B$15,MATCH(LARGE($P$10:$P$15,1),$P$10:$P$15,0))="","(unnamed row)",INDEX($B$10:$B$15,MATCH(LARGE($P$10:$P$15,1),$P$10:$P$15,0))),"—"))</f>
        <v>Advisory Session (hourly)</v>
      </c>
      <c r="D23" s="88"/>
      <c r="E23" s="88"/>
      <c r="F23" s="88"/>
      <c r="G23" s="89">
        <f>IF($S$9=1,"",IFERROR(INDEX($H$10:$H$15,MATCH(LARGE($P$10:$P$15,1),$P$10:$P$15,0)),"—"))</f>
        <v>0.65090909090909088</v>
      </c>
      <c r="H23" s="89"/>
      <c r="I23" s="90" t="s">
        <v>309</v>
      </c>
      <c r="J23" s="90"/>
      <c r="K23" s="90"/>
    </row>
    <row r="24" spans="2:11" ht="18.75" customHeight="1" x14ac:dyDescent="0.25">
      <c r="B24" s="52" t="s">
        <v>310</v>
      </c>
      <c r="C24" s="88" t="str">
        <f>IF($S$9=1,"Incomplete Inputs",IFERROR(IF(INDEX($B$10:$B$15,MATCH(SMALL($P$10:$P$15,1),$P$10:$P$15,0))="","(unnamed row)",INDEX($B$10:$B$15,MATCH(SMALL($P$10:$P$15,1),$P$10:$P$15,0))),"—"))</f>
        <v>Training Workshop</v>
      </c>
      <c r="D24" s="88"/>
      <c r="E24" s="88"/>
      <c r="F24" s="88"/>
      <c r="G24" s="89">
        <f>IF($S$9=1,"",IFERROR(INDEX($H$10:$H$15,MATCH(SMALL($P$10:$P$15,1),$P$10:$P$15,0)),"—"))</f>
        <v>0.453125</v>
      </c>
      <c r="H24" s="89"/>
      <c r="I24" s="90" t="s">
        <v>309</v>
      </c>
      <c r="J24" s="90"/>
      <c r="K24" s="90"/>
    </row>
    <row r="25" spans="2:11" ht="25.5" customHeight="1" x14ac:dyDescent="0.25">
      <c r="B25" s="67" t="s">
        <v>311</v>
      </c>
      <c r="C25" s="67"/>
      <c r="D25" s="67"/>
      <c r="E25" s="67"/>
      <c r="F25" s="67"/>
      <c r="G25" s="67"/>
      <c r="H25" s="67"/>
      <c r="I25" s="67"/>
      <c r="J25" s="67"/>
      <c r="K25" s="67"/>
    </row>
    <row r="27" spans="2:11" ht="13.5" customHeight="1" x14ac:dyDescent="0.25">
      <c r="B27" s="69" t="s">
        <v>312</v>
      </c>
      <c r="C27" s="69"/>
      <c r="D27" s="69"/>
      <c r="E27" s="69"/>
      <c r="F27" s="69"/>
      <c r="G27" s="69"/>
      <c r="H27" s="69"/>
      <c r="I27" s="69"/>
      <c r="J27" s="69"/>
      <c r="K27" s="69"/>
    </row>
  </sheetData>
  <sheetProtection sheet="1" formatCells="0" formatColumns="0" formatRows="0"/>
  <mergeCells count="25">
    <mergeCell ref="A1:L1"/>
    <mergeCell ref="A2:F2"/>
    <mergeCell ref="G2:L2"/>
    <mergeCell ref="A3:L3"/>
    <mergeCell ref="B7:K7"/>
    <mergeCell ref="B8:K8"/>
    <mergeCell ref="B17:K17"/>
    <mergeCell ref="B19:K19"/>
    <mergeCell ref="C20:F20"/>
    <mergeCell ref="G20:H20"/>
    <mergeCell ref="I20:K20"/>
    <mergeCell ref="C21:F21"/>
    <mergeCell ref="G21:H21"/>
    <mergeCell ref="I21:K21"/>
    <mergeCell ref="C22:F22"/>
    <mergeCell ref="G22:H22"/>
    <mergeCell ref="I22:K22"/>
    <mergeCell ref="B25:K25"/>
    <mergeCell ref="B27:K27"/>
    <mergeCell ref="C23:F23"/>
    <mergeCell ref="G23:H23"/>
    <mergeCell ref="I23:K23"/>
    <mergeCell ref="C24:F24"/>
    <mergeCell ref="G24:H24"/>
    <mergeCell ref="I24:K24"/>
  </mergeCells>
  <pageMargins left="0.35" right="0.35" top="0.4" bottom="0.4"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3"/>
  <sheetViews>
    <sheetView showGridLines="0" topLeftCell="A43" zoomScaleNormal="100" workbookViewId="0">
      <selection sqref="A1:V1"/>
    </sheetView>
  </sheetViews>
  <sheetFormatPr defaultColWidth="8.7109375" defaultRowHeight="15" x14ac:dyDescent="0.25"/>
  <cols>
    <col min="1" max="1" width="2.42578125" customWidth="1"/>
    <col min="2" max="21" width="6.5703125" customWidth="1"/>
    <col min="22" max="22" width="2.42578125" customWidth="1"/>
  </cols>
  <sheetData>
    <row r="1" spans="1:22" ht="13.5" customHeight="1" x14ac:dyDescent="0.25">
      <c r="A1" s="62" t="s">
        <v>0</v>
      </c>
      <c r="B1" s="62"/>
      <c r="C1" s="62"/>
      <c r="D1" s="62"/>
      <c r="E1" s="62"/>
      <c r="F1" s="62"/>
      <c r="G1" s="62"/>
      <c r="H1" s="62"/>
      <c r="I1" s="62"/>
      <c r="J1" s="62"/>
      <c r="K1" s="62"/>
      <c r="L1" s="62"/>
      <c r="M1" s="62"/>
      <c r="N1" s="62"/>
      <c r="O1" s="62"/>
      <c r="P1" s="62"/>
      <c r="Q1" s="62"/>
      <c r="R1" s="62"/>
      <c r="S1" s="62"/>
      <c r="T1" s="62"/>
      <c r="U1" s="62"/>
      <c r="V1" s="62"/>
    </row>
    <row r="2" spans="1:22" ht="25.5" customHeight="1" x14ac:dyDescent="0.25">
      <c r="A2" s="63" t="s">
        <v>313</v>
      </c>
      <c r="B2" s="63"/>
      <c r="C2" s="63"/>
      <c r="D2" s="63"/>
      <c r="E2" s="63"/>
      <c r="F2" s="63"/>
      <c r="G2" s="63"/>
      <c r="H2" s="63"/>
      <c r="I2" s="63"/>
      <c r="J2" s="63"/>
      <c r="K2" s="63"/>
      <c r="L2" s="63"/>
      <c r="M2" s="70" t="s">
        <v>66</v>
      </c>
      <c r="N2" s="70"/>
      <c r="O2" s="70"/>
      <c r="P2" s="70"/>
      <c r="Q2" s="70"/>
      <c r="R2" s="70"/>
      <c r="S2" s="70"/>
      <c r="T2" s="70"/>
      <c r="U2" s="70"/>
      <c r="V2" s="70"/>
    </row>
    <row r="3" spans="1:22" ht="15.75" customHeight="1" x14ac:dyDescent="0.25">
      <c r="A3" s="64" t="s">
        <v>314</v>
      </c>
      <c r="B3" s="64"/>
      <c r="C3" s="64"/>
      <c r="D3" s="64"/>
      <c r="E3" s="64"/>
      <c r="F3" s="64"/>
      <c r="G3" s="64"/>
      <c r="H3" s="64"/>
      <c r="I3" s="64"/>
      <c r="J3" s="64"/>
      <c r="K3" s="64"/>
      <c r="L3" s="64"/>
      <c r="M3" s="64"/>
      <c r="N3" s="64"/>
      <c r="O3" s="64"/>
      <c r="P3" s="64"/>
      <c r="Q3" s="64"/>
      <c r="R3" s="64"/>
      <c r="S3" s="64"/>
      <c r="T3" s="64"/>
      <c r="U3" s="64"/>
      <c r="V3" s="64"/>
    </row>
    <row r="4" spans="1:22" ht="7.5" customHeight="1" x14ac:dyDescent="0.25"/>
    <row r="5" spans="1:22" ht="6" customHeight="1" x14ac:dyDescent="0.25"/>
    <row r="6" spans="1:22" ht="15" customHeight="1" x14ac:dyDescent="0.25">
      <c r="B6" s="99" t="s">
        <v>315</v>
      </c>
      <c r="C6" s="99"/>
      <c r="D6" s="99"/>
      <c r="E6" s="99"/>
      <c r="F6" s="99"/>
      <c r="G6" s="99" t="s">
        <v>316</v>
      </c>
      <c r="H6" s="99"/>
      <c r="I6" s="99"/>
      <c r="J6" s="99"/>
      <c r="K6" s="99"/>
      <c r="L6" s="99" t="s">
        <v>317</v>
      </c>
      <c r="M6" s="99"/>
      <c r="N6" s="99"/>
      <c r="O6" s="99"/>
      <c r="P6" s="99"/>
      <c r="Q6" s="99" t="s">
        <v>318</v>
      </c>
      <c r="R6" s="99"/>
      <c r="S6" s="99"/>
      <c r="T6" s="99"/>
      <c r="U6" s="99"/>
    </row>
    <row r="7" spans="1:22" ht="25.5" customHeight="1" x14ac:dyDescent="0.25">
      <c r="B7" s="102">
        <f>'CURRENT ECONOMICS'!$C$9</f>
        <v>1250</v>
      </c>
      <c r="C7" s="102"/>
      <c r="D7" s="102"/>
      <c r="E7" s="102"/>
      <c r="F7" s="102"/>
      <c r="G7" s="102">
        <f>'CURRENT ECONOMICS'!$C$10</f>
        <v>487</v>
      </c>
      <c r="H7" s="102"/>
      <c r="I7" s="102"/>
      <c r="J7" s="102"/>
      <c r="K7" s="102"/>
      <c r="L7" s="102">
        <f>'CURRENT ECONOMICS'!$C$11</f>
        <v>763</v>
      </c>
      <c r="M7" s="102"/>
      <c r="N7" s="102"/>
      <c r="O7" s="102"/>
      <c r="P7" s="102"/>
      <c r="Q7" s="103">
        <f>'CURRENT ECONOMICS'!$C$12</f>
        <v>0.61040000000000005</v>
      </c>
      <c r="R7" s="103"/>
      <c r="S7" s="103"/>
      <c r="T7" s="103"/>
      <c r="U7" s="103"/>
    </row>
    <row r="8" spans="1:22" ht="13.5" customHeight="1" x14ac:dyDescent="0.25">
      <c r="B8" s="98" t="str">
        <f>"per unit sold"</f>
        <v>per unit sold</v>
      </c>
      <c r="C8" s="98"/>
      <c r="D8" s="98"/>
      <c r="E8" s="98"/>
      <c r="F8" s="98"/>
      <c r="G8" s="98" t="str">
        <f>"per unit delivered"</f>
        <v>per unit delivered</v>
      </c>
      <c r="H8" s="98"/>
      <c r="I8" s="98"/>
      <c r="J8" s="98"/>
      <c r="K8" s="98"/>
      <c r="L8" s="98" t="str">
        <f>"toward fixed costs and profit"</f>
        <v>toward fixed costs and profit</v>
      </c>
      <c r="M8" s="98"/>
      <c r="N8" s="98"/>
      <c r="O8" s="98"/>
      <c r="P8" s="98"/>
      <c r="Q8" s="98" t="str">
        <f>IF(ISNUMBER('CURRENT ECONOMICS'!$C$11),"on "&amp;TEXT('CURRENT ECONOMICS'!$C$11,"$#,##0.00")&amp;" per unit","")</f>
        <v>on $763.00 per unit</v>
      </c>
      <c r="R8" s="98"/>
      <c r="S8" s="98"/>
      <c r="T8" s="98"/>
      <c r="U8" s="98"/>
    </row>
    <row r="9" spans="1:22" ht="6.75" customHeight="1" x14ac:dyDescent="0.25"/>
    <row r="10" spans="1:22" ht="21.75" customHeight="1" x14ac:dyDescent="0.25">
      <c r="B10" s="99" t="s">
        <v>319</v>
      </c>
      <c r="C10" s="99"/>
      <c r="D10" s="99"/>
      <c r="E10" s="99"/>
      <c r="F10" s="99"/>
      <c r="G10" s="99" t="s">
        <v>320</v>
      </c>
      <c r="H10" s="99"/>
      <c r="I10" s="99"/>
      <c r="J10" s="99"/>
      <c r="K10" s="99"/>
      <c r="L10" s="99" t="s">
        <v>321</v>
      </c>
      <c r="M10" s="99"/>
      <c r="N10" s="99"/>
      <c r="O10" s="99"/>
      <c r="P10" s="99"/>
      <c r="Q10" s="99" t="s">
        <v>322</v>
      </c>
      <c r="R10" s="99"/>
      <c r="S10" s="99"/>
      <c r="T10" s="99"/>
      <c r="U10" s="99"/>
    </row>
    <row r="11" spans="1:22" ht="25.5" customHeight="1" x14ac:dyDescent="0.25">
      <c r="B11" s="100">
        <f>'CURRENT ECONOMICS'!$C$18</f>
        <v>50000</v>
      </c>
      <c r="C11" s="100"/>
      <c r="D11" s="100"/>
      <c r="E11" s="100"/>
      <c r="F11" s="100"/>
      <c r="G11" s="100">
        <f>'CURRENT ECONOMICS'!$C$22</f>
        <v>10130</v>
      </c>
      <c r="H11" s="100"/>
      <c r="I11" s="100"/>
      <c r="J11" s="100"/>
      <c r="K11" s="100"/>
      <c r="L11" s="101">
        <f>'CURRENT ECONOMICS'!$C$28</f>
        <v>26.723460026212319</v>
      </c>
      <c r="M11" s="101"/>
      <c r="N11" s="101"/>
      <c r="O11" s="101"/>
      <c r="P11" s="101"/>
      <c r="Q11" s="102">
        <f>'TARGET PRICE'!$C$10</f>
        <v>1391.4285714285716</v>
      </c>
      <c r="R11" s="102"/>
      <c r="S11" s="102"/>
      <c r="T11" s="102"/>
      <c r="U11" s="102"/>
    </row>
    <row r="12" spans="1:22" ht="13.5" customHeight="1" x14ac:dyDescent="0.25">
      <c r="B12" s="98" t="str">
        <f>IF(OkUnits=1,"at "&amp;TEXT(Units,"#,##0")&amp;" units per month","units not entered")</f>
        <v>at 40 units per month</v>
      </c>
      <c r="C12" s="98"/>
      <c r="D12" s="98"/>
      <c r="E12" s="98"/>
      <c r="F12" s="98"/>
      <c r="G12" s="98" t="str">
        <f>"after the fixed costs entered"</f>
        <v>after the fixed costs entered</v>
      </c>
      <c r="H12" s="98"/>
      <c r="I12" s="98"/>
      <c r="J12" s="98"/>
      <c r="K12" s="98"/>
      <c r="L12" s="98" t="str">
        <f>IF(OkUnits=1,"you expect "&amp;TEXT(Units,"#,##0")&amp;" units","units not entered")</f>
        <v>you expect 40 units</v>
      </c>
      <c r="M12" s="98"/>
      <c r="N12" s="98"/>
      <c r="O12" s="98"/>
      <c r="P12" s="98"/>
      <c r="Q12" s="98" t="str">
        <f>IF(ISNUMBER(TgtCM),"target "&amp;TEXT(TgtCM,"0.0%")&amp;" contribution margin","no target set")</f>
        <v>target 65.0% contribution margin</v>
      </c>
      <c r="R12" s="98"/>
      <c r="S12" s="98"/>
      <c r="T12" s="98"/>
      <c r="U12" s="98"/>
    </row>
    <row r="13" spans="1:22" ht="9.75" customHeight="1" x14ac:dyDescent="0.25"/>
    <row r="14" spans="1:22" ht="18" customHeight="1" x14ac:dyDescent="0.25">
      <c r="B14" s="96" t="s">
        <v>323</v>
      </c>
      <c r="C14" s="96"/>
      <c r="D14" s="96"/>
      <c r="E14" s="96"/>
      <c r="F14" s="96"/>
      <c r="G14" s="96"/>
      <c r="H14" s="96"/>
      <c r="I14" s="96"/>
      <c r="J14" s="96"/>
      <c r="K14" s="96"/>
      <c r="L14" s="96" t="s">
        <v>324</v>
      </c>
      <c r="M14" s="96"/>
      <c r="N14" s="96"/>
      <c r="O14" s="96"/>
      <c r="P14" s="96"/>
      <c r="Q14" s="96"/>
      <c r="R14" s="96"/>
      <c r="S14" s="96"/>
      <c r="T14" s="96"/>
      <c r="U14" s="96"/>
    </row>
    <row r="15" spans="1:22" ht="15" customHeight="1" x14ac:dyDescent="0.25"/>
    <row r="16" spans="1:22" ht="15" customHeight="1" x14ac:dyDescent="0.25"/>
    <row r="17" spans="2:21" ht="15" customHeight="1" x14ac:dyDescent="0.25"/>
    <row r="18" spans="2:21" ht="15" customHeight="1" x14ac:dyDescent="0.25"/>
    <row r="19" spans="2:21" ht="15" customHeight="1" x14ac:dyDescent="0.25"/>
    <row r="20" spans="2:21" ht="15" customHeight="1" x14ac:dyDescent="0.25"/>
    <row r="21" spans="2:21" ht="15" customHeight="1" x14ac:dyDescent="0.25"/>
    <row r="22" spans="2:21" ht="15" customHeight="1" x14ac:dyDescent="0.25"/>
    <row r="23" spans="2:21" ht="15" customHeight="1" x14ac:dyDescent="0.25"/>
    <row r="24" spans="2:21" ht="15" customHeight="1" x14ac:dyDescent="0.25"/>
    <row r="25" spans="2:21" ht="15" customHeight="1" x14ac:dyDescent="0.25"/>
    <row r="26" spans="2:21" ht="15" customHeight="1" x14ac:dyDescent="0.25"/>
    <row r="27" spans="2:21" ht="15" customHeight="1" x14ac:dyDescent="0.25"/>
    <row r="28" spans="2:21" ht="15" customHeight="1" x14ac:dyDescent="0.25"/>
    <row r="29" spans="2:21" ht="15" customHeight="1" x14ac:dyDescent="0.25"/>
    <row r="30" spans="2:21" ht="15" customHeight="1" x14ac:dyDescent="0.25"/>
    <row r="31" spans="2:21" ht="12" customHeight="1" x14ac:dyDescent="0.25"/>
    <row r="32" spans="2:21" ht="18" customHeight="1" x14ac:dyDescent="0.25">
      <c r="B32" s="96" t="str">
        <f>"3.   Monthly Contribution by Product or Service"&amp;IF('PRODUCT &amp; SERVICE MIX'!$S$9=1,"      Withheld — a product or service row is incomplete.","")</f>
        <v>3.   Monthly Contribution by Product or Service</v>
      </c>
      <c r="C32" s="96"/>
      <c r="D32" s="96"/>
      <c r="E32" s="96"/>
      <c r="F32" s="96"/>
      <c r="G32" s="96"/>
      <c r="H32" s="96"/>
      <c r="I32" s="96"/>
      <c r="J32" s="96"/>
      <c r="K32" s="96"/>
      <c r="L32" s="96"/>
      <c r="M32" s="96"/>
      <c r="N32" s="96"/>
      <c r="O32" s="96"/>
      <c r="P32" s="96"/>
      <c r="Q32" s="96"/>
      <c r="R32" s="96"/>
      <c r="S32" s="96"/>
      <c r="T32" s="96"/>
      <c r="U32" s="96"/>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6" customHeight="1" x14ac:dyDescent="0.25"/>
    <row r="49" spans="1:22" ht="6" customHeight="1" x14ac:dyDescent="0.25"/>
    <row r="50" spans="1:22" ht="18.75" customHeight="1" x14ac:dyDescent="0.25">
      <c r="B50" s="97" t="s">
        <v>325</v>
      </c>
      <c r="C50" s="97"/>
      <c r="D50" s="97"/>
      <c r="E50" s="97"/>
      <c r="F50" s="97"/>
      <c r="G50" s="97"/>
      <c r="H50" s="97"/>
      <c r="I50" s="97"/>
      <c r="J50" s="97"/>
      <c r="K50" s="97"/>
      <c r="L50" s="97"/>
      <c r="M50" s="97"/>
      <c r="N50" s="97"/>
      <c r="O50" s="97"/>
      <c r="P50" s="97"/>
      <c r="Q50" s="97"/>
      <c r="R50" s="97"/>
      <c r="S50" s="97"/>
      <c r="T50" s="97"/>
      <c r="U50" s="97"/>
    </row>
    <row r="51" spans="1:22" ht="22.5" customHeight="1" x14ac:dyDescent="0.25">
      <c r="B51" s="53" t="s">
        <v>326</v>
      </c>
      <c r="C51" s="95" t="str">
        <f>IF(Complete=0,"Complete the required inputs on the PRICING INPUTS tab and this summary fills in automatically.",IF(Price=0,"The current price is zero, so each unit loses "&amp;TEXT(VarUnit,"$#,##0.00")&amp;" and a contribution margin cannot be calculated.",IF((Price-VarUnit)&gt;0,"At the current price of "&amp;TEXT(Price,"$#,##0.00")&amp;", each unit generates a positive contribution of "&amp;TEXT(Price-VarUnit,"$#,##0.00")&amp;", a contribution margin of "&amp;TEXT((Price-VarUnit)/Price,"0.0%")&amp;".",IF((Price-VarUnit)=0,"At the current price of "&amp;TEXT(Price,"$#,##0.00")&amp;", contribution per unit is exactly zero — each unit covers its variable cost and nothing more.","At the current price of "&amp;TEXT(Price,"$#,##0.00")&amp;", contribution per unit is negative at "&amp;TEXT(Price-VarUnit,"$#,##0.00")&amp;", so each additional unit sold reduces contribution."))))</f>
        <v>At the current price of $1,250.00, each unit generates a positive contribution of $763.00, a contribution margin of 61.0%.</v>
      </c>
      <c r="D51" s="95"/>
      <c r="E51" s="95"/>
      <c r="F51" s="95"/>
      <c r="G51" s="95"/>
      <c r="H51" s="95"/>
      <c r="I51" s="95"/>
      <c r="J51" s="95"/>
      <c r="K51" s="95"/>
      <c r="L51" s="95"/>
      <c r="M51" s="95"/>
      <c r="N51" s="95"/>
      <c r="O51" s="95"/>
      <c r="P51" s="95"/>
      <c r="Q51" s="95"/>
      <c r="R51" s="95"/>
      <c r="S51" s="95"/>
      <c r="T51" s="95"/>
      <c r="U51" s="95"/>
    </row>
    <row r="52" spans="1:22" ht="22.5" customHeight="1" x14ac:dyDescent="0.25">
      <c r="B52" s="54" t="s">
        <v>326</v>
      </c>
      <c r="C52" s="94" t="str">
        <f>IF(Complete=0,"",IF(AND(OkVar=1,VarUnit&lt;=0),"With no variable cost per unit above zero, any positive price produces a 100% contribution margin, so a lower target margin does not determine a unique price and no target price is shown.",IF(NOT(ISNUMBER('TARGET PRICE'!$C$10)),"No valid target contribution margin has been entered, so no target price is shown.",IF(Price&gt;='TARGET PRICE'!$C$10,"The current price of "&amp;TEXT(Price,"$#,##0.00")&amp;" is at or above the "&amp;TEXT('TARGET PRICE'!$C$10,"$#,##0.00")&amp;" that your target contribution margin of "&amp;TEXT(TgtCM,"0.0%")&amp;" would require.","The current price of "&amp;TEXT(Price,"$#,##0.00")&amp;" is "&amp;TEXT('TARGET PRICE'!$C$10-Price,"$#,##0.00")&amp;" below the "&amp;TEXT('TARGET PRICE'!$C$10,"$#,##0.00")&amp;" that your target contribution margin of "&amp;TEXT(TgtCM,"0.0%")&amp;" would require."))))</f>
        <v>The current price of $1,250.00 is $141.43 below the $1,391.43 that your target contribution margin of 65.0% would require.</v>
      </c>
      <c r="D52" s="94"/>
      <c r="E52" s="94"/>
      <c r="F52" s="94"/>
      <c r="G52" s="94"/>
      <c r="H52" s="94"/>
      <c r="I52" s="94"/>
      <c r="J52" s="94"/>
      <c r="K52" s="94"/>
      <c r="L52" s="94"/>
      <c r="M52" s="94"/>
      <c r="N52" s="94"/>
      <c r="O52" s="94"/>
      <c r="P52" s="94"/>
      <c r="Q52" s="94"/>
      <c r="R52" s="94"/>
      <c r="S52" s="94"/>
      <c r="T52" s="94"/>
      <c r="U52" s="94"/>
    </row>
    <row r="53" spans="1:22" ht="22.5" customHeight="1" x14ac:dyDescent="0.25">
      <c r="B53" s="53" t="s">
        <v>326</v>
      </c>
      <c r="C53" s="95" t="str">
        <f>IF(OR(Complete=0,NOT(ISNUMBER('SCENARIO ANALYSIS'!$J$11)),NOT(ISNUMBER('SCENARIO ANALYSIS'!$J$10))),"","A 5% price increase would change monthly contribution by approximately "&amp;TEXT('SCENARIO ANALYSIS'!$J$11-'SCENARIO ANALYSIS'!$J$10,"+$#,##0;-$#,##0")&amp;", and estimated operating contribution by the same amount, assuming volume and costs do not change.")</f>
        <v>A 5% price increase would change monthly contribution by approximately +$2,500, and estimated operating contribution by the same amount, assuming volume and costs do not change.</v>
      </c>
      <c r="D53" s="95"/>
      <c r="E53" s="95"/>
      <c r="F53" s="95"/>
      <c r="G53" s="95"/>
      <c r="H53" s="95"/>
      <c r="I53" s="95"/>
      <c r="J53" s="95"/>
      <c r="K53" s="95"/>
      <c r="L53" s="95"/>
      <c r="M53" s="95"/>
      <c r="N53" s="95"/>
      <c r="O53" s="95"/>
      <c r="P53" s="95"/>
      <c r="Q53" s="95"/>
      <c r="R53" s="95"/>
      <c r="S53" s="95"/>
      <c r="T53" s="95"/>
      <c r="U53" s="95"/>
    </row>
    <row r="54" spans="1:22" ht="22.5" customHeight="1" x14ac:dyDescent="0.25">
      <c r="B54" s="54" t="s">
        <v>326</v>
      </c>
      <c r="C54" s="94" t="str">
        <f>IF(OR(Complete=0,NOT(ISNUMBER('SCENARIO ANALYSIS'!$J$14)),NOT(ISNUMBER('SCENARIO ANALYSIS'!$J$10))),"","A 10% increase in variable costs would change monthly contribution by approximately "&amp;TEXT('SCENARIO ANALYSIS'!$J$14-'SCENARIO ANALYSIS'!$J$10,"+$#,##0;-$#,##0")&amp;", with price and volume held constant.")</f>
        <v>A 10% increase in variable costs would change monthly contribution by approximately -$1,948, with price and volume held constant.</v>
      </c>
      <c r="D54" s="94"/>
      <c r="E54" s="94"/>
      <c r="F54" s="94"/>
      <c r="G54" s="94"/>
      <c r="H54" s="94"/>
      <c r="I54" s="94"/>
      <c r="J54" s="94"/>
      <c r="K54" s="94"/>
      <c r="L54" s="94"/>
      <c r="M54" s="94"/>
      <c r="N54" s="94"/>
      <c r="O54" s="94"/>
      <c r="P54" s="94"/>
      <c r="Q54" s="94"/>
      <c r="R54" s="94"/>
      <c r="S54" s="94"/>
      <c r="T54" s="94"/>
      <c r="U54" s="94"/>
    </row>
    <row r="55" spans="1:22" ht="22.5" customHeight="1" x14ac:dyDescent="0.25">
      <c r="B55" s="53" t="s">
        <v>326</v>
      </c>
      <c r="C55" s="95" t="str">
        <f>IF(Complete=0,"",IF(NOT(ISNUMBER('SCENARIO ANALYSIS'!$C$27)),"No price reduction has been entered on the SCENARIO ANALYSIS tab, so no volume-offset conclusion is drawn. Enter a reduction there to test one.",IF('SCENARIO ANALYSIS'!$C$29&lt;0,"The price reduction tested on the SCENARIO ANALYSIS tab would put the price below variable cost per unit, so each unit sold would reduce contribution. No volume restores it.",IF('SCENARIO ANALYSIS'!$C$29=0,"The price reduction tested on the SCENARIO ANALYSIS tab would leave contribution per unit at exactly zero, so each unit would cover its variable cost and nothing more and no volume would preserve contribution.",IF('SCENARIO ANALYSIS'!$C$27=0,"The price reduction tested on the SCENARIO ANALYSIS tab is 0%, so the price is unchanged and no additional units are required to hold contribution.","Maintaining contribution after the "&amp;TEXT('SCENARIO ANALYSIS'!$C$27,"0.0%")&amp;" price reduction tested would require approximately "&amp;TEXT('SCENARIO ANALYSIS'!$C$31,"#,##0")&amp;" units per month, about "&amp;TEXT('SCENARIO ANALYSIS'!$C$32,"#,##0")&amp;" more than today. That is arithmetic, not a forecast of demand.")))))</f>
        <v>Maintaining contribution after the 5.0% price reduction tested would require approximately 44 units per month, about 4 more than today. That is arithmetic, not a forecast of demand.</v>
      </c>
      <c r="D55" s="95"/>
      <c r="E55" s="95"/>
      <c r="F55" s="95"/>
      <c r="G55" s="95"/>
      <c r="H55" s="95"/>
      <c r="I55" s="95"/>
      <c r="J55" s="95"/>
      <c r="K55" s="95"/>
      <c r="L55" s="95"/>
      <c r="M55" s="95"/>
      <c r="N55" s="95"/>
      <c r="O55" s="95"/>
      <c r="P55" s="95"/>
      <c r="Q55" s="95"/>
      <c r="R55" s="95"/>
      <c r="S55" s="95"/>
      <c r="T55" s="95"/>
      <c r="U55" s="95"/>
    </row>
    <row r="56" spans="1:22" ht="22.5" customHeight="1" x14ac:dyDescent="0.25">
      <c r="B56" s="54" t="s">
        <v>326</v>
      </c>
      <c r="C56" s="94" t="str">
        <f>IF(Complete=0,"",IF(NOT(ISNUMBER('CURRENT ECONOMICS'!$C$28)),"Break-even cannot be calculated at the current inputs, because contribution per unit is not above zero.","Break-even at the current price is approximately "&amp;TEXT('CURRENT ECONOMICS'!$C$28,"#,##0.0")&amp;" units per month, against expected volume of "&amp;TEXT(Units,"#,##0")&amp;" units."))</f>
        <v>Break-even at the current price is approximately 26.7 units per month, against expected volume of 40 units.</v>
      </c>
      <c r="D56" s="94"/>
      <c r="E56" s="94"/>
      <c r="F56" s="94"/>
      <c r="G56" s="94"/>
      <c r="H56" s="94"/>
      <c r="I56" s="94"/>
      <c r="J56" s="94"/>
      <c r="K56" s="94"/>
      <c r="L56" s="94"/>
      <c r="M56" s="94"/>
      <c r="N56" s="94"/>
      <c r="O56" s="94"/>
      <c r="P56" s="94"/>
      <c r="Q56" s="94"/>
      <c r="R56" s="94"/>
      <c r="S56" s="94"/>
      <c r="T56" s="94"/>
      <c r="U56" s="94"/>
    </row>
    <row r="57" spans="1:22" ht="22.5" customHeight="1" x14ac:dyDescent="0.25">
      <c r="B57" s="53" t="s">
        <v>326</v>
      </c>
      <c r="C57" s="95" t="str">
        <f>IFERROR(IF('PRODUCT &amp; SERVICE MIX'!$S$9=1,"One or more rows on the PRODUCT &amp; SERVICE MIX tab have some figures entered but not all of price, units and variable cost. The mix totals, shares, rankings and the chart above are withheld until those rows are completed or cleared.",IF('PRODUCT &amp; SERVICE MIX'!$C$22="—","","On the PRODUCT &amp; SERVICE MIX tab, "&amp;'PRODUCT &amp; SERVICE MIX'!$C$22&amp;" generates the largest total contribution at "&amp;TEXT('PRODUCT &amp; SERVICE MIX'!$G$22,"$#,##0")&amp;" per month.")),"")</f>
        <v>On the PRODUCT &amp; SERVICE MIX tab, Monthly Service Package generates the largest total contribution at $30,520 per month.</v>
      </c>
      <c r="D57" s="95"/>
      <c r="E57" s="95"/>
      <c r="F57" s="95"/>
      <c r="G57" s="95"/>
      <c r="H57" s="95"/>
      <c r="I57" s="95"/>
      <c r="J57" s="95"/>
      <c r="K57" s="95"/>
      <c r="L57" s="95"/>
      <c r="M57" s="95"/>
      <c r="N57" s="95"/>
      <c r="O57" s="95"/>
      <c r="P57" s="95"/>
      <c r="Q57" s="95"/>
      <c r="R57" s="95"/>
      <c r="S57" s="95"/>
      <c r="T57" s="95"/>
      <c r="U57" s="95"/>
    </row>
    <row r="58" spans="1:22" ht="22.5" customHeight="1" x14ac:dyDescent="0.25">
      <c r="B58" s="54" t="s">
        <v>326</v>
      </c>
      <c r="C58" s="94" t="str">
        <f>IFERROR(IF('PRODUCT &amp; SERVICE MIX'!$S$9=1,"",IF('PRODUCT &amp; SERVICE MIX'!$C$23="—","",'PRODUCT &amp; SERVICE MIX'!$C$23&amp;" carries the highest contribution margin at "&amp;TEXT('PRODUCT &amp; SERVICE MIX'!$G$23,"0.0%")&amp;", which is a different question from which offer contributes the most in total.")),"")</f>
        <v>Advisory Session (hourly) carries the highest contribution margin at 65.1%, which is a different question from which offer contributes the most in total.</v>
      </c>
      <c r="D58" s="94"/>
      <c r="E58" s="94"/>
      <c r="F58" s="94"/>
      <c r="G58" s="94"/>
      <c r="H58" s="94"/>
      <c r="I58" s="94"/>
      <c r="J58" s="94"/>
      <c r="K58" s="94"/>
      <c r="L58" s="94"/>
      <c r="M58" s="94"/>
      <c r="N58" s="94"/>
      <c r="O58" s="94"/>
      <c r="P58" s="94"/>
      <c r="Q58" s="94"/>
      <c r="R58" s="94"/>
      <c r="S58" s="94"/>
      <c r="T58" s="94"/>
      <c r="U58" s="94"/>
    </row>
    <row r="59" spans="1:22" ht="24" customHeight="1" x14ac:dyDescent="0.25">
      <c r="B59" s="68" t="str">
        <f>IF(Complete=0,"Incomplete Inputs — the dashboard is waiting on required cells on the PRICING INPUTS tab.","Contribution margin "&amp;IF(ISNUMBER('CURRENT ECONOMICS'!$C$12),TEXT('CURRENT ECONOMICS'!$C$12,"0.0%"),"N/M")&amp;"   |   Break-even "&amp;IF(ISNUMBER('CURRENT ECONOMICS'!$C$28),TEXT('CURRENT ECONOMICS'!$C$28,"#,##0.0")&amp;" units","N/M")&amp;"   |   Estimated operating contribution "&amp;IF(ISNUMBER('CURRENT ECONOMICS'!$C$22),TEXT('CURRENT ECONOMICS'!$C$22,"$#,##0"),"N/M")&amp;" per month.")</f>
        <v>Contribution margin 61.0%   |   Break-even 26.7 units   |   Estimated operating contribution $10,130 per month.</v>
      </c>
      <c r="C59" s="68"/>
      <c r="D59" s="68"/>
      <c r="E59" s="68"/>
      <c r="F59" s="68"/>
      <c r="G59" s="68"/>
      <c r="H59" s="68"/>
      <c r="I59" s="68"/>
      <c r="J59" s="68"/>
      <c r="K59" s="68"/>
      <c r="L59" s="68"/>
      <c r="M59" s="68"/>
      <c r="N59" s="68"/>
      <c r="O59" s="68"/>
      <c r="P59" s="68"/>
      <c r="Q59" s="68"/>
      <c r="R59" s="68"/>
      <c r="S59" s="68"/>
      <c r="T59" s="68"/>
      <c r="U59" s="68"/>
    </row>
    <row r="60" spans="1:22" ht="6" customHeight="1" x14ac:dyDescent="0.25"/>
    <row r="61" spans="1:22" ht="33.75" customHeight="1" x14ac:dyDescent="0.25">
      <c r="B61" s="92" t="s">
        <v>327</v>
      </c>
      <c r="C61" s="92"/>
      <c r="D61" s="92"/>
      <c r="E61" s="92"/>
      <c r="F61" s="92"/>
      <c r="G61" s="92"/>
      <c r="H61" s="92"/>
      <c r="I61" s="92"/>
      <c r="J61" s="92"/>
      <c r="K61" s="92"/>
      <c r="L61" s="92"/>
      <c r="M61" s="92"/>
      <c r="N61" s="92"/>
      <c r="O61" s="92"/>
      <c r="P61" s="92"/>
      <c r="Q61" s="92"/>
      <c r="R61" s="92"/>
      <c r="S61" s="92"/>
      <c r="T61" s="92"/>
      <c r="U61" s="92"/>
    </row>
    <row r="62" spans="1:22" ht="6" customHeight="1" x14ac:dyDescent="0.25"/>
    <row r="63" spans="1:22" ht="21.75" customHeight="1" x14ac:dyDescent="0.25">
      <c r="A63" s="93" t="s">
        <v>328</v>
      </c>
      <c r="B63" s="93"/>
      <c r="C63" s="93"/>
      <c r="D63" s="93"/>
      <c r="E63" s="93"/>
      <c r="F63" s="93"/>
      <c r="G63" s="93"/>
      <c r="H63" s="93"/>
      <c r="I63" s="93"/>
      <c r="J63" s="93"/>
      <c r="K63" s="93"/>
      <c r="L63" s="93"/>
      <c r="M63" s="93"/>
      <c r="N63" s="93"/>
      <c r="O63" s="93"/>
      <c r="P63" s="93"/>
      <c r="Q63" s="93"/>
      <c r="R63" s="93"/>
      <c r="S63" s="93"/>
      <c r="T63" s="93"/>
      <c r="U63" s="93"/>
      <c r="V63" s="93"/>
    </row>
  </sheetData>
  <sheetProtection sheet="1" formatCells="0" formatColumns="0" formatRows="0"/>
  <mergeCells count="43">
    <mergeCell ref="A1:V1"/>
    <mergeCell ref="A2:L2"/>
    <mergeCell ref="M2:V2"/>
    <mergeCell ref="A3:V3"/>
    <mergeCell ref="B6:F6"/>
    <mergeCell ref="G6:K6"/>
    <mergeCell ref="L6:P6"/>
    <mergeCell ref="Q6:U6"/>
    <mergeCell ref="B7:F7"/>
    <mergeCell ref="G7:K7"/>
    <mergeCell ref="L7:P7"/>
    <mergeCell ref="Q7:U7"/>
    <mergeCell ref="B8:F8"/>
    <mergeCell ref="G8:K8"/>
    <mergeCell ref="L8:P8"/>
    <mergeCell ref="Q8:U8"/>
    <mergeCell ref="B10:F10"/>
    <mergeCell ref="G10:K10"/>
    <mergeCell ref="L10:P10"/>
    <mergeCell ref="Q10:U10"/>
    <mergeCell ref="B11:F11"/>
    <mergeCell ref="G11:K11"/>
    <mergeCell ref="L11:P11"/>
    <mergeCell ref="Q11:U11"/>
    <mergeCell ref="B12:F12"/>
    <mergeCell ref="G12:K12"/>
    <mergeCell ref="L12:P12"/>
    <mergeCell ref="Q12:U12"/>
    <mergeCell ref="B14:K14"/>
    <mergeCell ref="L14:U14"/>
    <mergeCell ref="B32:U32"/>
    <mergeCell ref="B50:U50"/>
    <mergeCell ref="C51:U51"/>
    <mergeCell ref="C52:U52"/>
    <mergeCell ref="C53:U53"/>
    <mergeCell ref="B59:U59"/>
    <mergeCell ref="B61:U61"/>
    <mergeCell ref="A63:V63"/>
    <mergeCell ref="C54:U54"/>
    <mergeCell ref="C55:U55"/>
    <mergeCell ref="C56:U56"/>
    <mergeCell ref="C57:U57"/>
    <mergeCell ref="C58:U58"/>
  </mergeCells>
  <pageMargins left="0.35" right="0.35" top="0.4" bottom="0.4" header="0.511811023622047" footer="0.511811023622047"/>
  <pageSetup fitToHeight="0" orientation="landscape" horizontalDpi="300" verticalDpi="300"/>
  <rowBreaks count="1" manualBreakCount="1">
    <brk id="31" max="16383" man="1"/>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22</vt:i4>
      </vt:variant>
    </vt:vector>
  </HeadingPairs>
  <TitlesOfParts>
    <vt:vector size="29" baseType="lpstr">
      <vt:lpstr>START HERE</vt:lpstr>
      <vt:lpstr>PRICING INPUTS</vt:lpstr>
      <vt:lpstr>CURRENT ECONOMICS</vt:lpstr>
      <vt:lpstr>TARGET PRICE</vt:lpstr>
      <vt:lpstr>SCENARIO ANALYSIS</vt:lpstr>
      <vt:lpstr>PRODUCT &amp; SERVICE MIX</vt:lpstr>
      <vt:lpstr>EXECUTIVE DASHBOARD</vt:lpstr>
      <vt:lpstr>Complete</vt:lpstr>
      <vt:lpstr>CoreOK</vt:lpstr>
      <vt:lpstr>FixedTotal</vt:lpstr>
      <vt:lpstr>MaxCap</vt:lpstr>
      <vt:lpstr>MinPrice</vt:lpstr>
      <vt:lpstr>OkFixed</vt:lpstr>
      <vt:lpstr>OkPrice</vt:lpstr>
      <vt:lpstr>OkUnits</vt:lpstr>
      <vt:lpstr>OkVar</vt:lpstr>
      <vt:lpstr>Price</vt:lpstr>
      <vt:lpstr>'CURRENT ECONOMICS'!Print_Area</vt:lpstr>
      <vt:lpstr>'EXECUTIVE DASHBOARD'!Print_Area</vt:lpstr>
      <vt:lpstr>'PRICING INPUTS'!Print_Area</vt:lpstr>
      <vt:lpstr>'PRODUCT &amp; SERVICE MIX'!Print_Area</vt:lpstr>
      <vt:lpstr>'SCENARIO ANALYSIS'!Print_Area</vt:lpstr>
      <vt:lpstr>'START HERE'!Print_Area</vt:lpstr>
      <vt:lpstr>'TARGET PRICE'!Print_Area</vt:lpstr>
      <vt:lpstr>TgtCM</vt:lpstr>
      <vt:lpstr>TgtGM</vt:lpstr>
      <vt:lpstr>TgtOC</vt:lpstr>
      <vt:lpstr>Units</vt:lpstr>
      <vt:lpstr>VarUnit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Senthuran Selvanathan</cp:lastModifiedBy>
  <cp:revision>1</cp:revision>
  <dcterms:created xsi:type="dcterms:W3CDTF">2026-09-04T01:13:44Z</dcterms:created>
  <dcterms:modified xsi:type="dcterms:W3CDTF">2026-09-04T01:27:39Z</dcterms:modified>
  <dc:language>en-US</dc:language>
</cp:coreProperties>
</file>