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3d67ec76a37ead1/Desktop/Vertex Strategic Finance/Resources - Lead Magnets/"/>
    </mc:Choice>
  </mc:AlternateContent>
  <xr:revisionPtr revIDLastSave="1" documentId="11_9F0D354FB8D2CA94E517205700659E3A10A03CA6" xr6:coauthVersionLast="47" xr6:coauthVersionMax="47" xr10:uidLastSave="{7442E542-8D04-4857-9522-367D484C3C2A}"/>
  <bookViews>
    <workbookView xWindow="31080" yWindow="-1545" windowWidth="38700" windowHeight="17625" tabRatio="692" xr2:uid="{00000000-000D-0000-FFFF-FFFF00000000}"/>
  </bookViews>
  <sheets>
    <sheet name="START HERE" sheetId="1" r:id="rId1"/>
    <sheet name="FINANCIAL INPUTS" sheetId="2" r:id="rId2"/>
    <sheet name="OWNER ASSESSMENT" sheetId="3" r:id="rId3"/>
    <sheet name="FINANCIAL ANALYSIS" sheetId="4" r:id="rId4"/>
    <sheet name="HEALTH CHECK" sheetId="5" r:id="rId5"/>
    <sheet name="ACTION PLAN" sheetId="6" r:id="rId6"/>
    <sheet name="EXECUTIVE DASHBOARD" sheetId="7" r:id="rId7"/>
  </sheets>
  <definedNames>
    <definedName name="_xlnm.Print_Area" localSheetId="5">'ACTION PLAN'!$A$1:$G$32</definedName>
    <definedName name="_xlnm.Print_Area" localSheetId="6">'EXECUTIVE DASHBOARD'!$A$1:$V$60</definedName>
    <definedName name="_xlnm.Print_Area" localSheetId="3">'FINANCIAL ANALYSIS'!$A$1:$H$79</definedName>
    <definedName name="_xlnm.Print_Area" localSheetId="1">'FINANCIAL INPUTS'!$A$1:$G$60</definedName>
    <definedName name="_xlnm.Print_Area" localSheetId="4">'HEALTH CHECK'!$A$1:$G$64</definedName>
    <definedName name="_xlnm.Print_Area" localSheetId="2">'OWNER ASSESSMENT'!$A$1:$F$33</definedName>
    <definedName name="_xlnm.Print_Area" localSheetId="0">'START HERE'!$A$1:$I$58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54" i="7" l="1"/>
  <c r="C53" i="7"/>
  <c r="C52" i="7"/>
  <c r="C50" i="7"/>
  <c r="B17" i="7"/>
  <c r="Q13" i="7"/>
  <c r="Q12" i="7"/>
  <c r="B12" i="7"/>
  <c r="N2" i="7"/>
  <c r="F25" i="6"/>
  <c r="D25" i="6"/>
  <c r="F23" i="6"/>
  <c r="D23" i="6"/>
  <c r="F22" i="6"/>
  <c r="D22" i="6"/>
  <c r="F20" i="6"/>
  <c r="D20" i="6"/>
  <c r="F13" i="6"/>
  <c r="D13" i="6"/>
  <c r="D12" i="6"/>
  <c r="F11" i="6"/>
  <c r="D11" i="6"/>
  <c r="E56" i="5"/>
  <c r="D56" i="5" s="1"/>
  <c r="C56" i="5"/>
  <c r="E55" i="5"/>
  <c r="E54" i="5"/>
  <c r="E53" i="5"/>
  <c r="E52" i="5"/>
  <c r="E48" i="5"/>
  <c r="E47" i="5"/>
  <c r="E46" i="5"/>
  <c r="E44" i="5"/>
  <c r="E40" i="5"/>
  <c r="E39" i="5"/>
  <c r="D39" i="5"/>
  <c r="C39" i="5"/>
  <c r="E38" i="5"/>
  <c r="D38" i="5"/>
  <c r="E37" i="5"/>
  <c r="D37" i="5"/>
  <c r="C37" i="5"/>
  <c r="E36" i="5"/>
  <c r="E41" i="5" s="1"/>
  <c r="E15" i="5" s="1"/>
  <c r="D36" i="5"/>
  <c r="C36" i="5"/>
  <c r="E32" i="5"/>
  <c r="D32" i="5"/>
  <c r="C32" i="5"/>
  <c r="E31" i="5"/>
  <c r="E30" i="5"/>
  <c r="E29" i="5"/>
  <c r="E28" i="5"/>
  <c r="D28" i="5"/>
  <c r="C28" i="5"/>
  <c r="D75" i="4"/>
  <c r="C75" i="4"/>
  <c r="D74" i="4"/>
  <c r="C74" i="4"/>
  <c r="D73" i="4"/>
  <c r="C73" i="4"/>
  <c r="D71" i="4"/>
  <c r="C71" i="4"/>
  <c r="D70" i="4"/>
  <c r="C70" i="4"/>
  <c r="D69" i="4"/>
  <c r="C69" i="4"/>
  <c r="D54" i="4"/>
  <c r="C54" i="4"/>
  <c r="F53" i="4"/>
  <c r="D48" i="4"/>
  <c r="D49" i="4" s="1"/>
  <c r="C48" i="4"/>
  <c r="D40" i="4"/>
  <c r="D41" i="4" s="1"/>
  <c r="C40" i="4"/>
  <c r="E31" i="4"/>
  <c r="D29" i="4"/>
  <c r="C29" i="4"/>
  <c r="D28" i="4"/>
  <c r="D30" i="4" s="1"/>
  <c r="C28" i="4"/>
  <c r="D27" i="4"/>
  <c r="C27" i="4"/>
  <c r="D24" i="4"/>
  <c r="D25" i="4" s="1"/>
  <c r="C24" i="4"/>
  <c r="D19" i="4"/>
  <c r="C19" i="4"/>
  <c r="C14" i="4"/>
  <c r="F13" i="4"/>
  <c r="D13" i="4"/>
  <c r="C13" i="4"/>
  <c r="E24" i="3"/>
  <c r="E22" i="3"/>
  <c r="E19" i="3"/>
  <c r="E18" i="3"/>
  <c r="E17" i="3"/>
  <c r="E16" i="3"/>
  <c r="E15" i="3"/>
  <c r="E14" i="3"/>
  <c r="E13" i="3"/>
  <c r="E12" i="3"/>
  <c r="E11" i="3"/>
  <c r="E10" i="3"/>
  <c r="E9" i="3"/>
  <c r="E8" i="3"/>
  <c r="E23" i="3" s="1"/>
  <c r="D55" i="2"/>
  <c r="C55" i="2"/>
  <c r="D39" i="2"/>
  <c r="C39" i="2"/>
  <c r="D35" i="2"/>
  <c r="D51" i="4" s="1"/>
  <c r="C35" i="2"/>
  <c r="D33" i="2"/>
  <c r="D37" i="4" s="1"/>
  <c r="C33" i="2"/>
  <c r="C37" i="4" s="1"/>
  <c r="D29" i="2"/>
  <c r="D36" i="4" s="1"/>
  <c r="C29" i="2"/>
  <c r="C36" i="4" s="1"/>
  <c r="D17" i="2"/>
  <c r="C17" i="2"/>
  <c r="B11" i="2"/>
  <c r="D10" i="2"/>
  <c r="D43" i="4" s="1"/>
  <c r="F12" i="6" s="1"/>
  <c r="C10" i="2"/>
  <c r="C43" i="4" s="1"/>
  <c r="F43" i="4" s="1"/>
  <c r="D54" i="5" l="1"/>
  <c r="C54" i="5"/>
  <c r="C53" i="5"/>
  <c r="D53" i="5"/>
  <c r="E57" i="5"/>
  <c r="E17" i="5" s="1"/>
  <c r="C48" i="5"/>
  <c r="D48" i="5" s="1"/>
  <c r="E33" i="5"/>
  <c r="E14" i="5" s="1"/>
  <c r="F54" i="4"/>
  <c r="E54" i="4"/>
  <c r="E48" i="4"/>
  <c r="F48" i="4"/>
  <c r="C49" i="4"/>
  <c r="C50" i="4"/>
  <c r="C41" i="4"/>
  <c r="E41" i="4" s="1"/>
  <c r="F40" i="4"/>
  <c r="E40" i="4"/>
  <c r="E29" i="4"/>
  <c r="F29" i="4"/>
  <c r="F28" i="4"/>
  <c r="C30" i="4"/>
  <c r="E28" i="4"/>
  <c r="F27" i="4"/>
  <c r="E27" i="4"/>
  <c r="C25" i="4"/>
  <c r="E25" i="4" s="1"/>
  <c r="F25" i="4" s="1"/>
  <c r="F24" i="4"/>
  <c r="E24" i="4"/>
  <c r="C38" i="5" s="1"/>
  <c r="D26" i="4"/>
  <c r="D20" i="4"/>
  <c r="D67" i="4" s="1"/>
  <c r="C20" i="4"/>
  <c r="C26" i="4"/>
  <c r="F19" i="4"/>
  <c r="E19" i="4"/>
  <c r="D61" i="4"/>
  <c r="D42" i="4"/>
  <c r="C61" i="4"/>
  <c r="C42" i="4"/>
  <c r="E42" i="4" s="1"/>
  <c r="E13" i="4"/>
  <c r="E18" i="5"/>
  <c r="E25" i="3"/>
  <c r="D55" i="4"/>
  <c r="D40" i="2"/>
  <c r="D41" i="2"/>
  <c r="D56" i="4" s="1"/>
  <c r="C40" i="2"/>
  <c r="C55" i="4"/>
  <c r="E55" i="4" s="1"/>
  <c r="C41" i="2"/>
  <c r="C56" i="4" s="1"/>
  <c r="D52" i="4"/>
  <c r="D76" i="4"/>
  <c r="C55" i="7"/>
  <c r="D14" i="6"/>
  <c r="F14" i="6"/>
  <c r="C51" i="4"/>
  <c r="E37" i="4"/>
  <c r="F37" i="4"/>
  <c r="D38" i="4"/>
  <c r="D39" i="4"/>
  <c r="E36" i="4"/>
  <c r="F36" i="4"/>
  <c r="C38" i="4"/>
  <c r="C39" i="4"/>
  <c r="F39" i="4" s="1"/>
  <c r="D19" i="2"/>
  <c r="D17" i="4" s="1"/>
  <c r="D15" i="4"/>
  <c r="C19" i="2"/>
  <c r="C15" i="4"/>
  <c r="F49" i="4" l="1"/>
  <c r="L17" i="7"/>
  <c r="F41" i="4"/>
  <c r="C46" i="5"/>
  <c r="D46" i="5"/>
  <c r="E30" i="4"/>
  <c r="F30" i="4"/>
  <c r="C40" i="5"/>
  <c r="D40" i="5"/>
  <c r="D41" i="5" s="1"/>
  <c r="D15" i="5" s="1"/>
  <c r="C15" i="5" s="1"/>
  <c r="F7" i="7" s="1"/>
  <c r="D15" i="6"/>
  <c r="F15" i="6"/>
  <c r="E20" i="4"/>
  <c r="F20" i="4" s="1"/>
  <c r="C67" i="4"/>
  <c r="F26" i="6"/>
  <c r="D26" i="6"/>
  <c r="Q17" i="7"/>
  <c r="D18" i="5"/>
  <c r="E51" i="4"/>
  <c r="F51" i="4"/>
  <c r="C52" i="4"/>
  <c r="F52" i="4" s="1"/>
  <c r="C76" i="4"/>
  <c r="E45" i="5"/>
  <c r="D24" i="6"/>
  <c r="F24" i="6"/>
  <c r="G18" i="7"/>
  <c r="E38" i="4"/>
  <c r="F38" i="4"/>
  <c r="C44" i="5"/>
  <c r="D44" i="5"/>
  <c r="G17" i="7"/>
  <c r="D18" i="4"/>
  <c r="D53" i="4"/>
  <c r="D63" i="4"/>
  <c r="D62" i="4"/>
  <c r="D16" i="4"/>
  <c r="F10" i="6"/>
  <c r="C30" i="5"/>
  <c r="D30" i="5"/>
  <c r="D21" i="6"/>
  <c r="F21" i="6"/>
  <c r="C17" i="4"/>
  <c r="D10" i="6"/>
  <c r="E15" i="4"/>
  <c r="F15" i="4"/>
  <c r="C16" i="4"/>
  <c r="C62" i="4"/>
  <c r="D52" i="5"/>
  <c r="C52" i="5"/>
  <c r="F42" i="4"/>
  <c r="D47" i="5"/>
  <c r="C47" i="5"/>
  <c r="D26" i="3"/>
  <c r="Q18" i="7" s="1"/>
  <c r="D16" i="6"/>
  <c r="F16" i="6"/>
  <c r="C18" i="5"/>
  <c r="R7" i="7" s="1"/>
  <c r="D55" i="5"/>
  <c r="C55" i="5"/>
  <c r="E49" i="5" l="1"/>
  <c r="E16" i="5" s="1"/>
  <c r="C45" i="5"/>
  <c r="D45" i="5"/>
  <c r="D49" i="5" s="1"/>
  <c r="D16" i="5" s="1"/>
  <c r="D66" i="4"/>
  <c r="L13" i="7"/>
  <c r="D65" i="4"/>
  <c r="G13" i="7"/>
  <c r="E17" i="4"/>
  <c r="F17" i="4"/>
  <c r="C18" i="4"/>
  <c r="C53" i="4"/>
  <c r="C63" i="4"/>
  <c r="E16" i="4"/>
  <c r="C65" i="4"/>
  <c r="G12" i="7"/>
  <c r="D57" i="5"/>
  <c r="D17" i="5" s="1"/>
  <c r="C17" i="5" s="1"/>
  <c r="N7" i="7" s="1"/>
  <c r="E18" i="4" l="1"/>
  <c r="C66" i="4"/>
  <c r="L12" i="7"/>
  <c r="D29" i="5"/>
  <c r="C29" i="5"/>
  <c r="F16" i="4"/>
  <c r="D9" i="6"/>
  <c r="B6" i="6" s="1"/>
  <c r="F9" i="6"/>
  <c r="C51" i="7"/>
  <c r="C16" i="5"/>
  <c r="J7" i="7" s="1"/>
  <c r="F18" i="4" l="1"/>
  <c r="C31" i="5"/>
  <c r="D31" i="5"/>
  <c r="D33" i="5" s="1"/>
  <c r="D14" i="5" s="1"/>
  <c r="C14" i="5" s="1"/>
  <c r="C10" i="5" l="1"/>
  <c r="C8" i="5"/>
  <c r="C7" i="5"/>
  <c r="B7" i="7"/>
  <c r="C9" i="5"/>
  <c r="B57"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Vertex Strategic Finance</author>
  </authors>
  <commentList>
    <comment ref="C21" authorId="0" shapeId="0" xr:uid="{00000000-0006-0000-0100-000001000000}">
      <text>
        <r>
          <rPr>
            <sz val="10"/>
            <rFont val="Arial"/>
            <family val="2"/>
          </rPr>
          <t>Profit after interest, taxes and any other items. Entered separately from operating profit because tax and other items vary considerably between businesses.</t>
        </r>
      </text>
    </comment>
    <comment ref="C44" authorId="0" shapeId="0" xr:uid="{00000000-0006-0000-0100-000002000000}">
      <text>
        <r>
          <rPr>
            <sz val="10"/>
            <rFont val="Arial"/>
            <family val="2"/>
          </rPr>
          <t>Cash generated by trading activities, taken from the cash flow statement. It is not the same as net income — the difference is usually working capital movements and non-cash items.</t>
        </r>
      </text>
    </comment>
    <comment ref="C54" authorId="0" shapeId="0" xr:uid="{00000000-0006-0000-0100-000003000000}">
      <text>
        <r>
          <rPr>
            <sz val="10"/>
            <rFont val="Arial"/>
            <family val="2"/>
          </rPr>
          <t>This is a user-defined figure. It is not an industry benchmark, a professional recommendation, or a required reserve level. Set it to whatever suits your business.</t>
        </r>
      </text>
    </comment>
  </commentList>
</comments>
</file>

<file path=xl/sharedStrings.xml><?xml version="1.0" encoding="utf-8"?>
<sst xmlns="http://schemas.openxmlformats.org/spreadsheetml/2006/main" count="467" uniqueCount="338">
  <si>
    <t>VERTEX STRATEGIC FINANCE</t>
  </si>
  <si>
    <t>Business Financial Health Check</t>
  </si>
  <si>
    <t>A practical financial diagnostic to help you understand what's working, where visibility may be limited, and which areas of your business deserve a closer look.</t>
  </si>
  <si>
    <t>What This Tool Does</t>
  </si>
  <si>
    <t>Strong revenue or accounting profit alone does not necessarily mean a business is financially healthy.</t>
  </si>
  <si>
    <t>Financial health also depends on:</t>
  </si>
  <si>
    <t>—</t>
  </si>
  <si>
    <t>Profitability</t>
  </si>
  <si>
    <t>Cash generation</t>
  </si>
  <si>
    <t>Working capital</t>
  </si>
  <si>
    <t>Financial resilience</t>
  </si>
  <si>
    <t>The quality and timeliness of financial information</t>
  </si>
  <si>
    <t>This workbook brings those areas together into one practical diagnostic.</t>
  </si>
  <si>
    <t>How to Use It</t>
  </si>
  <si>
    <t>1.</t>
  </si>
  <si>
    <t>Enter your recent financial results.</t>
  </si>
  <si>
    <t>FINANCIAL INPUTS tab</t>
  </si>
  <si>
    <t>2.</t>
  </si>
  <si>
    <t>Complete the short Owner Assessment.</t>
  </si>
  <si>
    <t>OWNER ASSESSMENT tab</t>
  </si>
  <si>
    <t>3.</t>
  </si>
  <si>
    <t>Review the calculated financial analysis.</t>
  </si>
  <si>
    <t>FINANCIAL ANALYSIS tab</t>
  </si>
  <si>
    <t>4.</t>
  </si>
  <si>
    <t>Review the five areas of financial health.</t>
  </si>
  <si>
    <t>HEALTH CHECK tab</t>
  </si>
  <si>
    <t>5.</t>
  </si>
  <si>
    <t>Identify areas that may deserve closer investigation.</t>
  </si>
  <si>
    <t>6.</t>
  </si>
  <si>
    <t>Use the Action Plan to determine your next financial priorities.</t>
  </si>
  <si>
    <t>ACTION PLAN tab</t>
  </si>
  <si>
    <t>What You Will Need</t>
  </si>
  <si>
    <t>Ideally, have the following to hand for your most recent period and the comparable prior period:</t>
  </si>
  <si>
    <t>Recent income statements</t>
  </si>
  <si>
    <t>Balance sheets</t>
  </si>
  <si>
    <t>Cash flow information, if available</t>
  </si>
  <si>
    <t>Accounts receivable balance</t>
  </si>
  <si>
    <t>Accounts payable balance</t>
  </si>
  <si>
    <t>Current cash balance</t>
  </si>
  <si>
    <t>Debt balances</t>
  </si>
  <si>
    <t>Basic information about your financial reporting processes</t>
  </si>
  <si>
    <t>If exact information is unavailable, reasonable estimates may be used for an initial diagnostic — but actual financial statements will produce more meaningful results.</t>
  </si>
  <si>
    <t>HOW THIS DIAGNOSTIC WORKS</t>
  </si>
  <si>
    <t>There is no single number that captures financial health, so this workbook does not produce one. It compares your business against its own prior period and your own stated preferences, then reports five areas as Positive Trend, Monitor, Needs Attention, or Insufficient Information.</t>
  </si>
  <si>
    <t>Reading the Workbook</t>
  </si>
  <si>
    <t>Input</t>
  </si>
  <si>
    <t>Shaded cells are yours to change. Type over the sample numbers with your own.</t>
  </si>
  <si>
    <t>Formula</t>
  </si>
  <si>
    <t>Unshaded cells calculate automatically. Sheets are protected without a password — use Review › Unprotect Sheet if you need to edit them.</t>
  </si>
  <si>
    <t>N/M</t>
  </si>
  <si>
    <t>Not meaningful — the figures this measure needs have not all been entered, or the arithmetic would mislead. A blank input is information not provided, never a zero.</t>
  </si>
  <si>
    <t>Important</t>
  </si>
  <si>
    <t>This resource is provided for general informational and planning purposes only and does not constitute accounting, tax, legal, investment, financing, or financial advice. Financial health varies significantly by business model, industry, growth stage, financing structure, seasonality, and other circumstances. Results should be interpreted in the context of your specific business and should not be considered a professional opinion regarding the financial condition, solvency, value, or future performance of the business.   All figures included in this workbook are FICTIONAL EXAMPLE DATA created for illustration only and do not represent any real business or individual.</t>
  </si>
  <si>
    <t>Vertex Strategic Finance</t>
  </si>
  <si>
    <t>CPA-Led Accounting &amp; Advisory for Owner-Led Businesses</t>
  </si>
  <si>
    <t>www.vertexstrategicfinance.ca    |    info@vertexstrategicfinance.ca</t>
  </si>
  <si>
    <t>Financial Inputs</t>
  </si>
  <si>
    <t>Enter your most recent period and the comparable prior period.  Both periods must cover the same length of time — for example current 12 months versus prior 12 months.</t>
  </si>
  <si>
    <t>REPORTING PERIODS</t>
  </si>
  <si>
    <t>Item</t>
  </si>
  <si>
    <t>Current Period</t>
  </si>
  <si>
    <t>Prior Period</t>
  </si>
  <si>
    <t>Notes</t>
  </si>
  <si>
    <t>Period Description</t>
  </si>
  <si>
    <t>TTM to Jun 2026</t>
  </si>
  <si>
    <t>TTM to Jun 2025</t>
  </si>
  <si>
    <t>A short label for each period. TTM means trailing twelve months.</t>
  </si>
  <si>
    <t>Number of Months in Period</t>
  </si>
  <si>
    <t>Both periods must cover the same number of months for the comparisons to be meaningful.</t>
  </si>
  <si>
    <t>Number of Days in Period</t>
  </si>
  <si>
    <t>Calculated from the months above. Used only for the approximate receivables day estimate.</t>
  </si>
  <si>
    <t>INCOME STATEMENT</t>
  </si>
  <si>
    <t>Revenue</t>
  </si>
  <si>
    <t>Total sales for the period.</t>
  </si>
  <si>
    <t>Cost of Sales / Direct Costs</t>
  </si>
  <si>
    <t>Costs that vary directly with delivering the work — materials, subcontractors, direct labour.</t>
  </si>
  <si>
    <t>Gross Profit</t>
  </si>
  <si>
    <t>Revenue less cost of sales. Calculated, so it always agrees with the two lines above.</t>
  </si>
  <si>
    <t>Operating Expenses</t>
  </si>
  <si>
    <t>Overheads below gross profit — rent, admin salaries, software, insurance, marketing.</t>
  </si>
  <si>
    <t>Operating Profit</t>
  </si>
  <si>
    <t>Gross profit less operating expenses.</t>
  </si>
  <si>
    <t>Interest Expense</t>
  </si>
  <si>
    <t>Interest paid on loans and credit facilities. Enter 0 if none.</t>
  </si>
  <si>
    <t>Net Income</t>
  </si>
  <si>
    <t>Profit after interest, taxes and any other items. Entered separately because those items vary by business.</t>
  </si>
  <si>
    <t>BALANCE SHEET &amp; WORKING CAPITAL</t>
  </si>
  <si>
    <t>Cash</t>
  </si>
  <si>
    <t>Cash and cash equivalents at the period end.</t>
  </si>
  <si>
    <t>Accounts Receivable</t>
  </si>
  <si>
    <t>Amounts owed to you by customers.</t>
  </si>
  <si>
    <t>Inventory</t>
  </si>
  <si>
    <t>Enter 0 if your business does not carry inventory.</t>
  </si>
  <si>
    <t>Other Current Assets</t>
  </si>
  <si>
    <t>Prepaids, deposits and similar.</t>
  </si>
  <si>
    <t>Total Current Assets</t>
  </si>
  <si>
    <t>Cash + receivables + inventory + other current assets.</t>
  </si>
  <si>
    <t>Accounts Payable</t>
  </si>
  <si>
    <t>Amounts you owe suppliers. Payables are not treated as debt anywhere in this workbook.</t>
  </si>
  <si>
    <t>Other Current Liabilities</t>
  </si>
  <si>
    <t>Accrued liabilities, taxes payable, deferred revenue and similar.</t>
  </si>
  <si>
    <t>Current Portion of Debt</t>
  </si>
  <si>
    <t>Loan principal due within the next twelve months.</t>
  </si>
  <si>
    <t>Total Current Liabilities</t>
  </si>
  <si>
    <t>Payables + other current liabilities + current portion of debt.</t>
  </si>
  <si>
    <t>Long-Term Debt</t>
  </si>
  <si>
    <t>Loan principal due beyond twelve months.</t>
  </si>
  <si>
    <t>Total Debt</t>
  </si>
  <si>
    <t>Current portion of debt plus long-term debt. Accounts payable is excluded.</t>
  </si>
  <si>
    <t>Total Assets</t>
  </si>
  <si>
    <t>From your balance sheet.</t>
  </si>
  <si>
    <t>Total Liabilities</t>
  </si>
  <si>
    <t>Owner / Shareholder Equity</t>
  </si>
  <si>
    <t>Equity Calculated (Assets less Liabilities)</t>
  </si>
  <si>
    <t>Shown so you can check that the figures you entered reconcile.</t>
  </si>
  <si>
    <t>Difference (Calculated less Entered Equity)</t>
  </si>
  <si>
    <t>Calculated equity less the equity you entered, shown in dollars so you can judge the size of any difference yourself.</t>
  </si>
  <si>
    <t>Balance Sheet Check</t>
  </si>
  <si>
    <t>Reports Reconciles only when that difference is within the rounding tolerance you set below. Anything larger is reported, never absorbed, and your figures are never adjusted automatically.</t>
  </si>
  <si>
    <t>CASH FLOW</t>
  </si>
  <si>
    <t>Cash Flow From Operations</t>
  </si>
  <si>
    <t>Cash actually generated by trading, from your cash flow statement. This is NOT net income.</t>
  </si>
  <si>
    <t>Capital Expenditures</t>
  </si>
  <si>
    <t>Cash spent on equipment, vehicles, technology and similar.</t>
  </si>
  <si>
    <t>Owner Distributions / Withdrawals</t>
  </si>
  <si>
    <t>Dividends, drawings or other amounts taken out by the owner.</t>
  </si>
  <si>
    <t>New Debt / Financing Proceeds</t>
  </si>
  <si>
    <t>Cash received from new borrowing during the period.</t>
  </si>
  <si>
    <t>Debt Principal Repayments</t>
  </si>
  <si>
    <t>Principal repaid during the period. Interest is entered in the income statement above.</t>
  </si>
  <si>
    <t>These are cash movements, not accounting profit. A business can report a profit and still see its cash balance fall, and the reverse is equally possible.</t>
  </si>
  <si>
    <t>ADDITIONAL BUSINESS INPUTS</t>
  </si>
  <si>
    <t>Approximate Monthly Operating Expenses</t>
  </si>
  <si>
    <t>Roughly what it costs to run the business in a typical month. Operating expenses above divided by the number of months is a reasonable starting point.</t>
  </si>
  <si>
    <t>Minimum Desired Cash Balance</t>
  </si>
  <si>
    <t>YOUR choice of the lowest cash balance you are comfortable operating with. This workbook contains no recommended reserve level — the figure is yours alone.</t>
  </si>
  <si>
    <t>Average Monthly Revenue</t>
  </si>
  <si>
    <t>Revenue divided by the number of months in the period.</t>
  </si>
  <si>
    <t>Balance Sheet Rounding Tolerance</t>
  </si>
  <si>
    <t>YOUR choice of the largest difference you are willing to treat as rounding on the balance sheet check above. $1 suits statements kept to the dollar. A larger tolerance hides a larger difference.</t>
  </si>
  <si>
    <t>All figures supplied with this workbook are FICTIONAL EXAMPLE DATA for an illustrative owner-led Canadian service business with roughly $1.8 million of annual revenue. The example is deliberately mixed — some areas look healthy, others deserve a closer look. Replace every figure with your own.</t>
  </si>
  <si>
    <t>Vertex Strategic Finance  |  For general information and planning only — not accounting, tax, legal, investment, financing or financial advice.</t>
  </si>
  <si>
    <t>Owner Assessment</t>
  </si>
  <si>
    <t>Twelve short questions about how financial information flows through your business.</t>
  </si>
  <si>
    <t>FINANCIAL VISIBILITY QUESTIONS</t>
  </si>
  <si>
    <t>#</t>
  </si>
  <si>
    <t>Question</t>
  </si>
  <si>
    <t>Your Answer</t>
  </si>
  <si>
    <t>Points</t>
  </si>
  <si>
    <t>Are your bookkeeping records typically up to date each month?</t>
  </si>
  <si>
    <t>Yes</t>
  </si>
  <si>
    <t>Do you receive financial statements within a reasonable period after month-end?</t>
  </si>
  <si>
    <t>Partially</t>
  </si>
  <si>
    <t>Do you regularly review your income statement and balance sheet?</t>
  </si>
  <si>
    <t>Can you explain the major reasons your profit changed from the prior period?</t>
  </si>
  <si>
    <t>Do you have visibility into expected cash needs over the next several weeks or months?</t>
  </si>
  <si>
    <t>No</t>
  </si>
  <si>
    <t>Do you regularly monitor accounts receivable and overdue customer balances?</t>
  </si>
  <si>
    <t>Do you understand which products, services, locations, or customers generate the most profit, where relevant?</t>
  </si>
  <si>
    <t>Do you compare actual financial performance against a budget, forecast, or prior period?</t>
  </si>
  <si>
    <t>Do you track a small set of financial or operational KPIs relevant to your business?</t>
  </si>
  <si>
    <t>Can you confidently explain the difference between your accounting profit and changes in your cash balance?</t>
  </si>
  <si>
    <t>Not Sure</t>
  </si>
  <si>
    <t>Are significant financial decisions such as hiring, pricing, expansion, or major purchases supported by financial analysis?</t>
  </si>
  <si>
    <t>Do you have a clear process for identifying and addressing unusual financial results?</t>
  </si>
  <si>
    <t>FINANCIAL VISIBILITY RESULTS</t>
  </si>
  <si>
    <t>Questions Answered</t>
  </si>
  <si>
    <t>Total Points</t>
  </si>
  <si>
    <t>Maximum Possible Points</t>
  </si>
  <si>
    <t>Financial Visibility Assessment</t>
  </si>
  <si>
    <t>Visibility Category (this workbook's own categories)</t>
  </si>
  <si>
    <t>What the Financial Visibility Assessment is, and is not.  It reflects only your answers to the twelve questions above, scored Yes = 3, Partially = 2, No or Not Sure = 1. It is a diagnostic device created for this workbook. It is not an industry benchmark, a credit assessment, an independently validated score, or a professional opinion about your business.
The Visibility Categories — Strong (75%+), Moderate (50–74%) and Limited (below 50%) — are labels used only inside this workbook. The more useful output is the specific questions you answered No or Not Sure to; those point directly at the financial-management practices worth strengthening.</t>
  </si>
  <si>
    <t>Vertex Strategic Finance  |  Sample answers are FICTIONAL EXAMPLE DATA.  For general information and planning only.</t>
  </si>
  <si>
    <t>Financial Analysis</t>
  </si>
  <si>
    <t>FICTIONAL EXAMPLE DATA</t>
  </si>
  <si>
    <t>Everything on this tab is calculated from the FINANCIAL INPUTS and OWNER ASSESSMENT tabs.  Trends compare your business against its own prior period — not against any industry benchmark.</t>
  </si>
  <si>
    <t>SENSITIVITY SETTINGS  —  how large a movement has to be before it counts</t>
  </si>
  <si>
    <t>Setting</t>
  </si>
  <si>
    <t>Value</t>
  </si>
  <si>
    <t>Percentage-point movement treated as Relatively Stable</t>
  </si>
  <si>
    <t>Smaller percentage-point movements are labelled Relatively Stable and score zero in the signals that use them.</t>
  </si>
  <si>
    <t>Dollar / ratio movement treated as Relatively Stable</t>
  </si>
  <si>
    <t>Smaller dollar or ratio movements are labelled Relatively Stable and score zero in the signals that use them.</t>
  </si>
  <si>
    <t>These are internal diagnostic settings, not industry benchmarks, and they do more than label the Trend column. A movement smaller than the relevant setting is treated as Relatively Stable here and scores zero in the matching HEALTH CHECK signal, so changing them can change an area's status. They are your choice of sensitivity, not a view on acceptable performance.</t>
  </si>
  <si>
    <t>PROFITABILITY</t>
  </si>
  <si>
    <t>Metric</t>
  </si>
  <si>
    <t>Change</t>
  </si>
  <si>
    <t>Trend</t>
  </si>
  <si>
    <t>How it is calculated</t>
  </si>
  <si>
    <t>Straight from the inputs tab.</t>
  </si>
  <si>
    <t>Revenue Growth %</t>
  </si>
  <si>
    <t>(Current revenue less prior revenue) divided by prior revenue.</t>
  </si>
  <si>
    <t>Revenue less cost of sales.</t>
  </si>
  <si>
    <t>Gross Margin %</t>
  </si>
  <si>
    <t>Gross profit divided by revenue. The change is shown in percentage points.</t>
  </si>
  <si>
    <t>Operating Margin %</t>
  </si>
  <si>
    <t>Operating profit divided by revenue.</t>
  </si>
  <si>
    <t>After interest, taxes and other items.</t>
  </si>
  <si>
    <t>Net Profit Margin %</t>
  </si>
  <si>
    <t>Net income divided by revenue.</t>
  </si>
  <si>
    <t>Operating Cash Flow</t>
  </si>
  <si>
    <t>Cash generated by trading. Not the same as net income.</t>
  </si>
  <si>
    <t>Operating Cash Flow Margin</t>
  </si>
  <si>
    <t>Operating cash flow divided by revenue.</t>
  </si>
  <si>
    <t>Profit-to-Cash Conversion</t>
  </si>
  <si>
    <t>Operating cash flow divided by net income. Shown as N/M — not meaningful — when net income is zero or negative, because the ratio would mislead.</t>
  </si>
  <si>
    <t>Cash spent on equipment and other long-term assets.</t>
  </si>
  <si>
    <t>Free Cash Flow</t>
  </si>
  <si>
    <t>Operating cash flow less capital expenditures. Defined this way throughout the workbook.</t>
  </si>
  <si>
    <t>Amounts taken out of the business by the owner.</t>
  </si>
  <si>
    <t>Free Cash Flow After Owner Distributions</t>
  </si>
  <si>
    <t>A planning view of what is left after capital spending and owner withdrawals. Not a formal valuation measure.</t>
  </si>
  <si>
    <t>Change in Cash (current vs prior period end)</t>
  </si>
  <si>
    <t>The movement in the cash balance between the two period ends.</t>
  </si>
  <si>
    <t>Net income, operating cash flow and free cash flow are three different things. A business can be profitable and still consume cash, usually because of working capital movements, capital spending or debt repayment.</t>
  </si>
  <si>
    <t>WORKING CAPITAL</t>
  </si>
  <si>
    <t>Net Working Capital</t>
  </si>
  <si>
    <t>Current assets less current liabilities.</t>
  </si>
  <si>
    <t>Current Ratio</t>
  </si>
  <si>
    <t>Current assets divided by current liabilities. Shown objectively — no ratio is universally healthy.</t>
  </si>
  <si>
    <t>Amounts owed by customers at the period end.</t>
  </si>
  <si>
    <t>Accounts Receivable as % of Revenue</t>
  </si>
  <si>
    <t>A high-level balance relationship, not a substitute for a true days-sales-outstanding calculation based on invoice-level data.</t>
  </si>
  <si>
    <t>Accounts Payable as % of Revenue</t>
  </si>
  <si>
    <t>A high-level relationship only. Days payable outstanding is not calculated, because it needs purchase and payment detail this workbook does not collect.</t>
  </si>
  <si>
    <t>Approximate Days Sales Outstanding</t>
  </si>
  <si>
    <t>Receivables divided by revenue, multiplied by the days in the period. A simplified estimate — real collection performance varies month to month.</t>
  </si>
  <si>
    <t>Working capital measures are compared against your own prior period. No external target is applied to any of them.</t>
  </si>
  <si>
    <t>FINANCIAL RESILIENCE</t>
  </si>
  <si>
    <t>Cash balance at the period end.</t>
  </si>
  <si>
    <t>Approximate Months of Operating Expenses Covered by Cash</t>
  </si>
  <si>
    <t>Cash divided by approximate monthly operating expenses. A simple planning view. This workbook does not suggest how many months any business should hold.</t>
  </si>
  <si>
    <t>Cash Above / (Below) Minimum Desired Balance</t>
  </si>
  <si>
    <t>Cash less the minimum balance you entered. The minimum is your figure, not a recommended level.</t>
  </si>
  <si>
    <t>Debt-to-Equity</t>
  </si>
  <si>
    <t>Total debt divided by owner equity. Shown as N/M when equity is zero or negative, where the ratio has no sensible meaning.</t>
  </si>
  <si>
    <t>Interest Coverage</t>
  </si>
  <si>
    <t>Operating profit divided by interest expense — how many times over the period's operating profit covers its interest cost.</t>
  </si>
  <si>
    <t>Owner / Shareholder Equity (as entered)</t>
  </si>
  <si>
    <t>From your balance sheet inputs.</t>
  </si>
  <si>
    <t>Total assets less total liabilities, as entered.</t>
  </si>
  <si>
    <t>Compares entered equity against total assets less total liabilities, using the rounding tolerance you set on the FINANCIAL INPUTS tab. Any difference is shown in dollars there.</t>
  </si>
  <si>
    <t>Resilience measures are shown against your own minimum cash balance and your own prior period. This workbook contains no recommended cash reserve, debt level or coverage ratio.</t>
  </si>
  <si>
    <t>CHART DATA  —  feeds the charts on the EXECUTIVE DASHBOARD</t>
  </si>
  <si>
    <t>Gross Margin</t>
  </si>
  <si>
    <t>Operating Margin</t>
  </si>
  <si>
    <t>Net Margin</t>
  </si>
  <si>
    <t>Vertex Strategic Finance  |  FICTIONAL EXAMPLE DATA.  All measures are calculated from your own inputs and compared against your own prior period.  For general information and planning only — not accounting, tax, legal, investment, financing or financial advice.</t>
  </si>
  <si>
    <t>Health Check</t>
  </si>
  <si>
    <t>Five areas, each assessed against your own prior period, your own stated minimum cash balance, and your own Owner Assessment.  There is no overall score, because financial health does not reduce to one.</t>
  </si>
  <si>
    <t>OVERALL FINANCIAL HEALTH SUMMARY</t>
  </si>
  <si>
    <t>Summary</t>
  </si>
  <si>
    <t>Count</t>
  </si>
  <si>
    <t>Areas Showing Positive Indicators</t>
  </si>
  <si>
    <t>Areas to Monitor</t>
  </si>
  <si>
    <t>Areas Needing Attention</t>
  </si>
  <si>
    <t>Areas With Insufficient Information</t>
  </si>
  <si>
    <t>This workbook does not produce a single overall financial health score. Financial health depends on industry, business model, growth stage, seasonality and financing structure, and no one number captures it credibly.</t>
  </si>
  <si>
    <t>THE FIVE AREAS</t>
  </si>
  <si>
    <t>Area</t>
  </si>
  <si>
    <t>Status</t>
  </si>
  <si>
    <t>Net Score</t>
  </si>
  <si>
    <t>Signals Used</t>
  </si>
  <si>
    <t>Cash Flow</t>
  </si>
  <si>
    <t>Working Capital</t>
  </si>
  <si>
    <t>Financial Resilience</t>
  </si>
  <si>
    <t>Financial Visibility</t>
  </si>
  <si>
    <t>Each status reflects the combined direction of several financial signals. A single positive or negative metric does not determine the status on its own.</t>
  </si>
  <si>
    <t>Net Score and Signals Used come from the diagnostic logic set out lower on this tab, so every status can be traced back to the figures behind it.</t>
  </si>
  <si>
    <t>For Financial Visibility, those two columns show the Financial Visibility Assessment and the number of questions answered.</t>
  </si>
  <si>
    <t>DIAGNOSTIC LOGIC  —  signal detail, shown so every status can be traced back to your own figures</t>
  </si>
  <si>
    <t>Each area is assessed from five signals. A signal contributes +1, 0 or −1, and is marked as evaluated only when the figures it needs were actually entered — a blank cell is missing information, not a zero. Fewer than three evaluated signals returns Insufficient Information rather than a status. How large a movement has to be before a signal counts it is set by the two sensitivity settings on the FINANCIAL ANALYSIS tab. Signals measure mathematical relationships in your own figures — debt against the asset base, receivables against revenue, cash generated against what was spent. They do not judge whether a financing, investment or distribution decision was the right one for the business.</t>
  </si>
  <si>
    <t>Signal</t>
  </si>
  <si>
    <t>Contribution</t>
  </si>
  <si>
    <t>Evaluated</t>
  </si>
  <si>
    <t>Revenue grew compared with the prior period</t>
  </si>
  <si>
    <t>Gross margin movement</t>
  </si>
  <si>
    <t>Operating profit is positive</t>
  </si>
  <si>
    <t>Operating margin movement</t>
  </si>
  <si>
    <t>Net income is positive</t>
  </si>
  <si>
    <t>Net score / signals evaluated</t>
  </si>
  <si>
    <t>Operating cash flow is positive</t>
  </si>
  <si>
    <t>Free cash flow is positive  (after capital expenditures)</t>
  </si>
  <si>
    <t>Operating cash flow improved compared with the prior period</t>
  </si>
  <si>
    <t>Positive net income converted into as much operating cash flow</t>
  </si>
  <si>
    <t>Cash generated covered capital spending and owner distributions</t>
  </si>
  <si>
    <t>Net working capital is positive</t>
  </si>
  <si>
    <t>Net working capital improved compared with the prior period</t>
  </si>
  <si>
    <t>Receivables as a share of revenue  (a rise ties up more cash)</t>
  </si>
  <si>
    <t>Payables as a share of revenue  (may reflect timing or terms)</t>
  </si>
  <si>
    <t>Current assets grew at least as fast as current liabilities</t>
  </si>
  <si>
    <t>Cash is at or above the minimum balance you entered</t>
  </si>
  <si>
    <t>Months of operating expenses covered by cash, vs prior period</t>
  </si>
  <si>
    <t>Debt as a share of total assets, movement vs prior period</t>
  </si>
  <si>
    <t>Operating profit covers interest expense  (or there is none)</t>
  </si>
  <si>
    <t>Owner equity is positive</t>
  </si>
  <si>
    <t>How a net score becomes a status.  Fewer than 3 signals evaluated → Insufficient Information.  Net score +3 or higher → Positive Trend.  Net score 0 to +2 → Monitor.  Net score −1 or lower → Needs Attention.
Financial Visibility uses the Financial Visibility Assessment from the OWNER ASSESSMENT tab instead: 75% or above → Positive Trend, 50–74% → Monitor, below 50% → Needs Attention, and any unanswered question → Insufficient Information.
These cut-offs are conventions chosen for this workbook so the five areas can be summarised consistently. They are not industry benchmarks, professional standards, or externally validated thresholds.</t>
  </si>
  <si>
    <t>Vertex Strategic Finance  |  FICTIONAL EXAMPLE DATA.  Statuses describe the figures entered in this workbook and are not a professional opinion on the financial condition, solvency or value of any business.</t>
  </si>
  <si>
    <t>Your Financial Priorities</t>
  </si>
  <si>
    <t>Areas the figures suggest are worth a closer look, framed as questions to investigate rather than instructions.  Nothing here is a professional recommendation.</t>
  </si>
  <si>
    <t>QUESTIONS TO INVESTIGATE</t>
  </si>
  <si>
    <t>What to look at</t>
  </si>
  <si>
    <t>Operating Profitability</t>
  </si>
  <si>
    <t>Cash Position</t>
  </si>
  <si>
    <t>Debt</t>
  </si>
  <si>
    <t>Owner Distributions and Reinvestment</t>
  </si>
  <si>
    <t>POSITIVE INDICATORS</t>
  </si>
  <si>
    <t>Observation</t>
  </si>
  <si>
    <t>Revenue Growth</t>
  </si>
  <si>
    <t>How to use this page.  Every item above is generated from the figures you entered and is worded as something to review, investigate or understand — never as an instruction. A flagged area is not evidence of a problem, and an unflagged area is not confirmation that all is well; both simply reflect the inputs and the comparison against your own prior period.
This page does not provide accounting, tax, legal, investment, financing or financial advice, and is not a professional opinion on the financial condition, solvency, value or future performance of any business.</t>
  </si>
  <si>
    <t>Vertex Strategic Finance  |  FICTIONAL EXAMPLE DATA.  For general information and planning only.</t>
  </si>
  <si>
    <t>Business Financial Health</t>
  </si>
  <si>
    <t>A high-level view of profitability, cash flow, working capital, resilience, and financial visibility  —  FICTIONAL EXAMPLE DATA.</t>
  </si>
  <si>
    <t>FINANCIAL VISIBILITY</t>
  </si>
  <si>
    <t>Margins and profit trend</t>
  </si>
  <si>
    <t>Cash actually generated</t>
  </si>
  <si>
    <t>Receivables, payables, liquidity</t>
  </si>
  <si>
    <t>Cash buffer, debt, equity</t>
  </si>
  <si>
    <t>Quality of financial information</t>
  </si>
  <si>
    <t>REVENUE GROWTH</t>
  </si>
  <si>
    <t>GROSS MARGIN</t>
  </si>
  <si>
    <t>OPERATING MARGIN</t>
  </si>
  <si>
    <t>OPERATING CASH FLOW</t>
  </si>
  <si>
    <t>vs prior period</t>
  </si>
  <si>
    <t>FREE CASH FLOW</t>
  </si>
  <si>
    <t>NET WORKING CAPITAL</t>
  </si>
  <si>
    <t>MONTHS OF OPERATING EXPENSES COVERED BY CASH</t>
  </si>
  <si>
    <t>FINANCIAL VISIBILITY ASSESSMENT</t>
  </si>
  <si>
    <t>after capital expenditures</t>
  </si>
  <si>
    <t>your own operating cost estimate</t>
  </si>
  <si>
    <t>1.  Profitability  —  current vs prior period</t>
  </si>
  <si>
    <t>2.  Margin Trend</t>
  </si>
  <si>
    <t>3.  Profit vs Cash  —  three different measures</t>
  </si>
  <si>
    <t>4.  Financial Position</t>
  </si>
  <si>
    <t>FINANCIAL PULSE</t>
  </si>
  <si>
    <t>▪</t>
  </si>
  <si>
    <t>Observations above are generated directly from the figures entered in this workbook and compare the business against its own prior period and your own stated minimum cash balance. No industry benchmark is applied anywhere in this workbook. Nothing here constitutes accounting, tax, legal, investment, financing or financial advice, or a professional opinion on the financial condition, solvency, value or future performance of any business. All figures shown are FICTIONAL EXAMPLE DATA.</t>
  </si>
  <si>
    <t>Vertex Strategic Finance   |   www.vertexstrategicfinance.ca   |   info@vertexstrategicfinance.ca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</si>
</sst>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 months&quot;"/>
    <numFmt numFmtId="165" formatCode="0&quot; days&quot;"/>
    <numFmt numFmtId="166" formatCode="\$#,##0;\(\$#,##0\);&quot;-&quot;"/>
    <numFmt numFmtId="167" formatCode="\$#,##0.00;\(\$#,##0.00\);&quot;-&quot;"/>
    <numFmt numFmtId="168" formatCode="0&quot; of 12&quot;"/>
    <numFmt numFmtId="169" formatCode="0.0%"/>
    <numFmt numFmtId="170" formatCode="0.0&quot; pp&quot;"/>
    <numFmt numFmtId="171" formatCode="\+0.0&quot; pp&quot;;\-0.0&quot; pp&quot;;0.0&quot; pp&quot;"/>
    <numFmt numFmtId="172" formatCode="0.00&quot;x&quot;"/>
    <numFmt numFmtId="173" formatCode="0.0&quot; days&quot;"/>
    <numFmt numFmtId="174" formatCode="0.0&quot; months&quot;"/>
    <numFmt numFmtId="175" formatCode="0&quot; of 5&quot;"/>
    <numFmt numFmtId="176" formatCode="\+0;\-0;0"/>
    <numFmt numFmtId="177" formatCode="\+0.0%;\-0.0%;0.0%"/>
  </numFmts>
  <fonts count="50" x14ac:knownFonts="1">
    <font>
      <sz val="11"/>
      <color theme="1"/>
      <name val="Calibri"/>
      <family val="2"/>
      <charset val="1"/>
    </font>
    <font>
      <b/>
      <sz val="9"/>
      <color rgb="FF8FB8C9"/>
      <name val="Arial"/>
      <charset val="1"/>
    </font>
    <font>
      <b/>
      <sz val="24"/>
      <color rgb="FFFFFFFF"/>
      <name val="Arial"/>
      <charset val="1"/>
    </font>
    <font>
      <sz val="11"/>
      <color rgb="FFC7D9E2"/>
      <name val="Arial"/>
      <charset val="1"/>
    </font>
    <font>
      <b/>
      <sz val="12"/>
      <color rgb="FF083152"/>
      <name val="Arial"/>
      <charset val="1"/>
    </font>
    <font>
      <sz val="10.5"/>
      <color rgb="FF1A1A1A"/>
      <name val="Arial"/>
      <charset val="1"/>
    </font>
    <font>
      <sz val="10.5"/>
      <color rgb="FF23727C"/>
      <name val="Arial"/>
      <charset val="1"/>
    </font>
    <font>
      <b/>
      <sz val="10.5"/>
      <color rgb="FF23727C"/>
      <name val="Arial"/>
      <charset val="1"/>
    </font>
    <font>
      <i/>
      <sz val="8.5"/>
      <color rgb="FF6B7A85"/>
      <name val="Arial"/>
      <charset val="1"/>
    </font>
    <font>
      <sz val="10"/>
      <color rgb="FF6B7A85"/>
      <name val="Arial"/>
      <charset val="1"/>
    </font>
    <font>
      <b/>
      <sz val="9"/>
      <color rgb="FF23727C"/>
      <name val="Arial"/>
      <charset val="1"/>
    </font>
    <font>
      <sz val="10.5"/>
      <color rgb="FF083152"/>
      <name val="Arial"/>
      <charset val="1"/>
    </font>
    <font>
      <b/>
      <sz val="10"/>
      <color rgb="FF0B4A63"/>
      <name val="Arial"/>
      <charset val="1"/>
    </font>
    <font>
      <b/>
      <sz val="10"/>
      <color rgb="FF083152"/>
      <name val="Arial"/>
      <charset val="1"/>
    </font>
    <font>
      <b/>
      <sz val="10"/>
      <color rgb="FF6B7A85"/>
      <name val="Arial"/>
      <charset val="1"/>
    </font>
    <font>
      <b/>
      <sz val="9"/>
      <color rgb="FF6B7A85"/>
      <name val="Arial"/>
      <charset val="1"/>
    </font>
    <font>
      <sz val="9.5"/>
      <color rgb="FF6B7A85"/>
      <name val="Arial"/>
      <charset val="1"/>
    </font>
    <font>
      <b/>
      <sz val="13"/>
      <color rgb="FFFFFFFF"/>
      <name val="Arial"/>
      <charset val="1"/>
    </font>
    <font>
      <sz val="10"/>
      <color rgb="FF9FBECF"/>
      <name val="Arial"/>
      <charset val="1"/>
    </font>
    <font>
      <sz val="10"/>
      <color rgb="FF6FB3BC"/>
      <name val="Arial"/>
      <charset val="1"/>
    </font>
    <font>
      <b/>
      <sz val="20"/>
      <color rgb="FFFFFFFF"/>
      <name val="Arial"/>
      <charset val="1"/>
    </font>
    <font>
      <sz val="10"/>
      <color rgb="FFC7D9E2"/>
      <name val="Arial"/>
      <charset val="1"/>
    </font>
    <font>
      <b/>
      <sz val="10.5"/>
      <color rgb="FFFFFFFF"/>
      <name val="Arial"/>
      <charset val="1"/>
    </font>
    <font>
      <b/>
      <sz val="9"/>
      <color rgb="FF083152"/>
      <name val="Arial"/>
      <charset val="1"/>
    </font>
    <font>
      <b/>
      <sz val="10.5"/>
      <color rgb="FF083152"/>
      <name val="Arial"/>
      <charset val="1"/>
    </font>
    <font>
      <sz val="10"/>
      <color rgb="FF0B4A63"/>
      <name val="Arial"/>
      <charset val="1"/>
    </font>
    <font>
      <sz val="9"/>
      <color rgb="FF6B7A85"/>
      <name val="Arial"/>
      <charset val="1"/>
    </font>
    <font>
      <i/>
      <sz val="9"/>
      <color rgb="FF23727C"/>
      <name val="Arial"/>
      <charset val="1"/>
    </font>
    <font>
      <b/>
      <sz val="10"/>
      <color rgb="FF23727C"/>
      <name val="Arial"/>
      <charset val="1"/>
    </font>
    <font>
      <i/>
      <sz val="9"/>
      <color rgb="FF6B7A85"/>
      <name val="Arial"/>
      <charset val="1"/>
    </font>
    <font>
      <i/>
      <sz val="9.5"/>
      <color rgb="FF6B7A85"/>
      <name val="Arial"/>
      <charset val="1"/>
    </font>
    <font>
      <sz val="10"/>
      <name val="Arial"/>
      <family val="2"/>
    </font>
    <font>
      <b/>
      <sz val="9.5"/>
      <color rgb="FF23727C"/>
      <name val="Arial"/>
      <charset val="1"/>
    </font>
    <font>
      <b/>
      <sz val="8.5"/>
      <color rgb="FF8FB8C9"/>
      <name val="Arial"/>
      <charset val="1"/>
    </font>
    <font>
      <b/>
      <sz val="18"/>
      <color rgb="FFFFFFFF"/>
      <name val="Arial"/>
      <charset val="1"/>
    </font>
    <font>
      <i/>
      <sz val="9"/>
      <color rgb="FF9FBECF"/>
      <name val="Arial"/>
      <charset val="1"/>
    </font>
    <font>
      <sz val="9"/>
      <color rgb="FFC7D9E2"/>
      <name val="Arial"/>
      <charset val="1"/>
    </font>
    <font>
      <sz val="9.5"/>
      <color rgb="FF23727C"/>
      <name val="Arial"/>
      <charset val="1"/>
    </font>
    <font>
      <b/>
      <sz val="10"/>
      <color rgb="FFFFFFFF"/>
      <name val="Arial"/>
      <charset val="1"/>
    </font>
    <font>
      <sz val="10"/>
      <color rgb="FF1A1A1A"/>
      <name val="Arial"/>
      <charset val="1"/>
    </font>
    <font>
      <b/>
      <sz val="11"/>
      <color rgb="FF083152"/>
      <name val="Arial"/>
      <charset val="1"/>
    </font>
    <font>
      <sz val="9.5"/>
      <color rgb="FF1A1A1A"/>
      <name val="Arial"/>
      <charset val="1"/>
    </font>
    <font>
      <b/>
      <sz val="9.5"/>
      <color rgb="FF083152"/>
      <name val="Arial"/>
      <charset val="1"/>
    </font>
    <font>
      <b/>
      <sz val="11"/>
      <color rgb="FF23727C"/>
      <name val="Arial"/>
      <charset val="1"/>
    </font>
    <font>
      <i/>
      <sz val="8.5"/>
      <color rgb="FF7FA3B5"/>
      <name val="Arial"/>
      <charset val="1"/>
    </font>
    <font>
      <b/>
      <sz val="7.5"/>
      <color rgb="FF6B7A85"/>
      <name val="Arial"/>
      <charset val="1"/>
    </font>
    <font>
      <sz val="7.5"/>
      <color rgb="FF6B7A85"/>
      <name val="Arial"/>
      <charset val="1"/>
    </font>
    <font>
      <b/>
      <sz val="15"/>
      <color rgb="FF083152"/>
      <name val="Arial"/>
      <charset val="1"/>
    </font>
    <font>
      <sz val="9"/>
      <color rgb="FF23727C"/>
      <name val="Arial"/>
      <charset val="1"/>
    </font>
    <font>
      <sz val="9"/>
      <color rgb="FF1A1A1A"/>
      <name val="Arial"/>
      <charset val="1"/>
    </font>
  </fonts>
  <fills count="6">
    <fill>
      <patternFill patternType="none"/>
    </fill>
    <fill>
      <patternFill patternType="gray125"/>
    </fill>
    <fill>
      <patternFill patternType="solid">
        <fgColor rgb="FF083152"/>
        <bgColor rgb="FF0B4A63"/>
      </patternFill>
    </fill>
    <fill>
      <patternFill patternType="solid">
        <fgColor rgb="FFF4F6F8"/>
        <bgColor rgb="FFEDF4F5"/>
      </patternFill>
    </fill>
    <fill>
      <patternFill patternType="solid">
        <fgColor rgb="FFEDF4F5"/>
        <bgColor rgb="FFF4F6F8"/>
      </patternFill>
    </fill>
    <fill>
      <patternFill patternType="solid">
        <fgColor rgb="FF23727C"/>
        <bgColor rgb="FF008080"/>
      </patternFill>
    </fill>
  </fills>
  <borders count="22">
    <border>
      <left/>
      <right/>
      <top/>
      <bottom/>
      <diagonal/>
    </border>
    <border>
      <left/>
      <right/>
      <top/>
      <bottom style="medium">
        <color rgb="FF23727C"/>
      </bottom>
      <diagonal/>
    </border>
    <border>
      <left style="thick">
        <color rgb="FF23727C"/>
      </left>
      <right style="thin">
        <color rgb="FF23727C"/>
      </right>
      <top style="thin">
        <color rgb="FF23727C"/>
      </top>
      <bottom/>
      <diagonal/>
    </border>
    <border>
      <left style="thick">
        <color rgb="FF23727C"/>
      </left>
      <right style="thin">
        <color rgb="FF23727C"/>
      </right>
      <top/>
      <bottom/>
      <diagonal/>
    </border>
    <border>
      <left style="thick">
        <color rgb="FF23727C"/>
      </left>
      <right/>
      <top/>
      <bottom style="thin">
        <color rgb="FF23727C"/>
      </bottom>
      <diagonal/>
    </border>
    <border>
      <left/>
      <right/>
      <top/>
      <bottom style="thin">
        <color rgb="FF23727C"/>
      </bottom>
      <diagonal/>
    </border>
    <border>
      <left/>
      <right style="thin">
        <color rgb="FF23727C"/>
      </right>
      <top/>
      <bottom style="thin">
        <color rgb="FF23727C"/>
      </bottom>
      <diagonal/>
    </border>
    <border>
      <left style="thin">
        <color rgb="FF23727C"/>
      </left>
      <right style="thin">
        <color rgb="FF23727C"/>
      </right>
      <top style="thin">
        <color rgb="FF23727C"/>
      </top>
      <bottom style="thin">
        <color rgb="FF23727C"/>
      </bottom>
      <diagonal/>
    </border>
    <border>
      <left style="thin">
        <color rgb="FFD6DDE2"/>
      </left>
      <right style="thin">
        <color rgb="FFD6DDE2"/>
      </right>
      <top style="thin">
        <color rgb="FFD6DDE2"/>
      </top>
      <bottom/>
      <diagonal/>
    </border>
    <border>
      <left style="thin">
        <color rgb="FFD6DDE2"/>
      </left>
      <right style="thin">
        <color rgb="FFD6DDE2"/>
      </right>
      <top/>
      <bottom style="thin">
        <color rgb="FFD6DDE2"/>
      </bottom>
      <diagonal/>
    </border>
    <border>
      <left/>
      <right/>
      <top/>
      <bottom style="thin">
        <color rgb="FF083152"/>
      </bottom>
      <diagonal/>
    </border>
    <border>
      <left/>
      <right/>
      <top style="thin">
        <color rgb="FF083152"/>
      </top>
      <bottom/>
      <diagonal/>
    </border>
    <border>
      <left style="thin">
        <color rgb="FFD6DDE2"/>
      </left>
      <right style="thin">
        <color rgb="FFD6DDE2"/>
      </right>
      <top style="thin">
        <color rgb="FFD6DDE2"/>
      </top>
      <bottom style="thin">
        <color rgb="FFD6DDE2"/>
      </bottom>
      <diagonal/>
    </border>
    <border>
      <left/>
      <right/>
      <top/>
      <bottom style="thin">
        <color rgb="FFD6DDE2"/>
      </bottom>
      <diagonal/>
    </border>
    <border>
      <left style="thin">
        <color rgb="FFD6DDE2"/>
      </left>
      <right style="thin">
        <color rgb="FFD6DDE2"/>
      </right>
      <top/>
      <bottom/>
      <diagonal/>
    </border>
    <border>
      <left style="thin">
        <color rgb="FFD6DDE2"/>
      </left>
      <right/>
      <top style="thin">
        <color rgb="FFD6DDE2"/>
      </top>
      <bottom/>
      <diagonal/>
    </border>
    <border>
      <left/>
      <right/>
      <top style="thin">
        <color rgb="FFD6DDE2"/>
      </top>
      <bottom/>
      <diagonal/>
    </border>
    <border>
      <left/>
      <right style="thin">
        <color rgb="FFD6DDE2"/>
      </right>
      <top style="thin">
        <color rgb="FFD6DDE2"/>
      </top>
      <bottom/>
      <diagonal/>
    </border>
    <border>
      <left style="thin">
        <color rgb="FFD6DDE2"/>
      </left>
      <right/>
      <top/>
      <bottom/>
      <diagonal/>
    </border>
    <border>
      <left/>
      <right style="thin">
        <color rgb="FFD6DDE2"/>
      </right>
      <top/>
      <bottom/>
      <diagonal/>
    </border>
    <border>
      <left style="thin">
        <color rgb="FFD6DDE2"/>
      </left>
      <right/>
      <top/>
      <bottom style="thin">
        <color rgb="FFD6DDE2"/>
      </bottom>
      <diagonal/>
    </border>
    <border>
      <left/>
      <right style="thin">
        <color rgb="FFD6DDE2"/>
      </right>
      <top/>
      <bottom style="thin">
        <color rgb="FFD6DDE2"/>
      </bottom>
      <diagonal/>
    </border>
  </borders>
  <cellStyleXfs count="1">
    <xf numFmtId="0" fontId="0" fillId="0" borderId="0"/>
  </cellStyleXfs>
  <cellXfs count="154">
    <xf numFmtId="0" fontId="0" fillId="0" borderId="0" xfId="0"/>
    <xf numFmtId="0" fontId="14" fillId="0" borderId="0" xfId="0" applyFont="1" applyAlignment="1">
      <alignment horizontal="center" vertical="center"/>
    </xf>
    <xf numFmtId="0" fontId="5" fillId="0" borderId="0" xfId="0" applyFont="1" applyAlignment="1">
      <alignment horizontal="left" vertical="center" wrapText="1" indent="1"/>
    </xf>
    <xf numFmtId="0" fontId="13" fillId="0" borderId="0" xfId="0" applyFont="1" applyAlignment="1">
      <alignment horizontal="center" vertical="center"/>
    </xf>
    <xf numFmtId="0" fontId="5" fillId="0" borderId="0" xfId="0" applyFont="1" applyAlignment="1">
      <alignment horizontal="left" vertical="center" indent="1"/>
    </xf>
    <xf numFmtId="0" fontId="12" fillId="4" borderId="7" xfId="0" applyFont="1" applyFill="1" applyBorder="1" applyAlignment="1">
      <alignment horizontal="center" vertical="center"/>
    </xf>
    <xf numFmtId="0" fontId="11" fillId="3" borderId="3" xfId="0" applyFont="1" applyFill="1" applyBorder="1" applyAlignment="1">
      <alignment horizontal="left" vertical="center" wrapText="1" indent="1"/>
    </xf>
    <xf numFmtId="0" fontId="10" fillId="3" borderId="2" xfId="0" applyFont="1" applyFill="1" applyBorder="1" applyAlignment="1">
      <alignment horizontal="left" vertical="center" indent="1"/>
    </xf>
    <xf numFmtId="0" fontId="9"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4" fillId="0" borderId="1" xfId="0" applyFont="1" applyBorder="1" applyAlignment="1">
      <alignment horizontal="left"/>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horizontal="left"/>
    </xf>
    <xf numFmtId="0" fontId="0" fillId="2" borderId="0" xfId="0" applyFill="1"/>
    <xf numFmtId="0" fontId="6" fillId="0" borderId="0" xfId="0" applyFont="1" applyAlignment="1">
      <alignment horizontal="right" vertical="center"/>
    </xf>
    <xf numFmtId="0" fontId="7" fillId="0" borderId="0" xfId="0" applyFont="1" applyAlignment="1">
      <alignment horizontal="right" vertical="center"/>
    </xf>
    <xf numFmtId="0" fontId="8" fillId="0" borderId="0" xfId="0" applyFont="1" applyAlignment="1">
      <alignment horizontal="right" vertical="center"/>
    </xf>
    <xf numFmtId="0" fontId="0" fillId="3" borderId="4" xfId="0" applyFill="1" applyBorder="1"/>
    <xf numFmtId="0" fontId="0" fillId="3" borderId="5" xfId="0" applyFill="1" applyBorder="1"/>
    <xf numFmtId="0" fontId="0" fillId="3" borderId="6" xfId="0" applyFill="1" applyBorder="1"/>
    <xf numFmtId="0" fontId="23" fillId="0" borderId="10" xfId="0" applyFont="1" applyBorder="1" applyAlignment="1">
      <alignment horizontal="left" vertical="center" indent="1"/>
    </xf>
    <xf numFmtId="0" fontId="23" fillId="0" borderId="10" xfId="0" applyFont="1" applyBorder="1" applyAlignment="1">
      <alignment horizontal="right" vertical="center"/>
    </xf>
    <xf numFmtId="0" fontId="24" fillId="0" borderId="0" xfId="0" applyFont="1" applyAlignment="1">
      <alignment horizontal="left" vertical="center" indent="1"/>
    </xf>
    <xf numFmtId="0" fontId="25" fillId="4" borderId="7" xfId="0" applyFont="1" applyFill="1" applyBorder="1" applyAlignment="1" applyProtection="1">
      <alignment horizontal="left" vertical="center"/>
      <protection locked="0"/>
    </xf>
    <xf numFmtId="0" fontId="26" fillId="0" borderId="0" xfId="0" applyFont="1" applyAlignment="1">
      <alignment horizontal="left" vertical="center" wrapText="1"/>
    </xf>
    <xf numFmtId="164" fontId="25" fillId="4" borderId="7" xfId="0" applyNumberFormat="1" applyFont="1" applyFill="1" applyBorder="1" applyAlignment="1" applyProtection="1">
      <alignment horizontal="right" vertical="center"/>
      <protection locked="0"/>
    </xf>
    <xf numFmtId="0" fontId="24" fillId="0" borderId="11" xfId="0" applyFont="1" applyBorder="1" applyAlignment="1">
      <alignment horizontal="left" vertical="center" indent="1"/>
    </xf>
    <xf numFmtId="165" fontId="24" fillId="0" borderId="11" xfId="0" applyNumberFormat="1" applyFont="1" applyBorder="1" applyAlignment="1">
      <alignment horizontal="right" vertical="center"/>
    </xf>
    <xf numFmtId="166" fontId="25" fillId="4" borderId="7" xfId="0" applyNumberFormat="1" applyFont="1" applyFill="1" applyBorder="1" applyAlignment="1" applyProtection="1">
      <alignment horizontal="right" vertical="center"/>
      <protection locked="0"/>
    </xf>
    <xf numFmtId="0" fontId="24" fillId="3" borderId="0" xfId="0" applyFont="1" applyFill="1" applyAlignment="1">
      <alignment horizontal="left" vertical="center" indent="1"/>
    </xf>
    <xf numFmtId="166" fontId="24" fillId="3" borderId="0" xfId="0" applyNumberFormat="1" applyFont="1" applyFill="1" applyAlignment="1">
      <alignment horizontal="right" vertical="center"/>
    </xf>
    <xf numFmtId="166" fontId="24" fillId="0" borderId="11" xfId="0" applyNumberFormat="1" applyFont="1" applyBorder="1" applyAlignment="1">
      <alignment horizontal="right" vertical="center"/>
    </xf>
    <xf numFmtId="167" fontId="24" fillId="0" borderId="11" xfId="0" applyNumberFormat="1" applyFont="1" applyBorder="1" applyAlignment="1">
      <alignment horizontal="right" vertical="center"/>
    </xf>
    <xf numFmtId="167" fontId="25" fillId="4" borderId="7" xfId="0" applyNumberFormat="1" applyFont="1" applyFill="1" applyBorder="1" applyAlignment="1" applyProtection="1">
      <alignment horizontal="right" vertical="center"/>
      <protection locked="0"/>
    </xf>
    <xf numFmtId="166" fontId="25" fillId="0" borderId="0" xfId="0" applyNumberFormat="1" applyFont="1" applyAlignment="1">
      <alignment horizontal="right" vertical="center"/>
    </xf>
    <xf numFmtId="0" fontId="23" fillId="0" borderId="10" xfId="0" applyFont="1" applyBorder="1" applyAlignment="1">
      <alignment horizontal="center" vertical="center"/>
    </xf>
    <xf numFmtId="0" fontId="32" fillId="0" borderId="13" xfId="0" applyFont="1" applyBorder="1" applyAlignment="1">
      <alignment horizontal="center" vertical="center"/>
    </xf>
    <xf numFmtId="0" fontId="5" fillId="0" borderId="13" xfId="0" applyFont="1" applyBorder="1" applyAlignment="1">
      <alignment horizontal="left" vertical="center" wrapText="1" indent="1"/>
    </xf>
    <xf numFmtId="0" fontId="25" fillId="4" borderId="13" xfId="0" applyFont="1" applyFill="1" applyBorder="1" applyAlignment="1" applyProtection="1">
      <alignment horizontal="center" vertical="center"/>
      <protection locked="0"/>
    </xf>
    <xf numFmtId="1" fontId="16" fillId="0" borderId="13" xfId="0" applyNumberFormat="1" applyFont="1" applyBorder="1" applyAlignment="1">
      <alignment horizontal="center" vertical="center"/>
    </xf>
    <xf numFmtId="168" fontId="24" fillId="0" borderId="13" xfId="0" applyNumberFormat="1" applyFont="1" applyBorder="1" applyAlignment="1">
      <alignment horizontal="center" vertical="center"/>
    </xf>
    <xf numFmtId="1" fontId="24" fillId="0" borderId="13" xfId="0" applyNumberFormat="1" applyFont="1" applyBorder="1" applyAlignment="1">
      <alignment horizontal="center" vertical="center"/>
    </xf>
    <xf numFmtId="0" fontId="24" fillId="3" borderId="13" xfId="0" applyFont="1" applyFill="1" applyBorder="1" applyAlignment="1">
      <alignment horizontal="left" vertical="center" indent="1"/>
    </xf>
    <xf numFmtId="169" fontId="4" fillId="3" borderId="13" xfId="0" applyNumberFormat="1" applyFont="1" applyFill="1" applyBorder="1" applyAlignment="1">
      <alignment horizontal="center" vertical="center"/>
    </xf>
    <xf numFmtId="170" fontId="25" fillId="4" borderId="7" xfId="0" applyNumberFormat="1" applyFont="1" applyFill="1" applyBorder="1" applyAlignment="1" applyProtection="1">
      <alignment horizontal="right" vertical="center"/>
      <protection locked="0"/>
    </xf>
    <xf numFmtId="9" fontId="25" fillId="4" borderId="7" xfId="0" applyNumberFormat="1" applyFont="1" applyFill="1" applyBorder="1" applyAlignment="1" applyProtection="1">
      <alignment horizontal="right" vertical="center"/>
      <protection locked="0"/>
    </xf>
    <xf numFmtId="0" fontId="5" fillId="0" borderId="13" xfId="0" applyFont="1" applyBorder="1" applyAlignment="1">
      <alignment horizontal="left" vertical="center" indent="1"/>
    </xf>
    <xf numFmtId="166" fontId="11" fillId="0" borderId="13" xfId="0" applyNumberFormat="1" applyFont="1" applyBorder="1" applyAlignment="1">
      <alignment horizontal="right" vertical="center"/>
    </xf>
    <xf numFmtId="166" fontId="5" fillId="0" borderId="13" xfId="0" applyNumberFormat="1" applyFont="1" applyBorder="1" applyAlignment="1">
      <alignment horizontal="right" vertical="center"/>
    </xf>
    <xf numFmtId="0" fontId="37" fillId="0" borderId="13" xfId="0" applyFont="1" applyBorder="1" applyAlignment="1">
      <alignment horizontal="center" vertical="center"/>
    </xf>
    <xf numFmtId="169" fontId="11" fillId="0" borderId="13" xfId="0" applyNumberFormat="1" applyFont="1" applyBorder="1" applyAlignment="1">
      <alignment horizontal="right" vertical="center"/>
    </xf>
    <xf numFmtId="0" fontId="0" fillId="0" borderId="13" xfId="0" applyBorder="1"/>
    <xf numFmtId="169" fontId="24" fillId="3" borderId="13" xfId="0" applyNumberFormat="1" applyFont="1" applyFill="1" applyBorder="1" applyAlignment="1">
      <alignment horizontal="right" vertical="center"/>
    </xf>
    <xf numFmtId="171" fontId="24" fillId="3" borderId="13" xfId="0" applyNumberFormat="1" applyFont="1" applyFill="1" applyBorder="1" applyAlignment="1">
      <alignment horizontal="right" vertical="center"/>
    </xf>
    <xf numFmtId="0" fontId="37" fillId="3" borderId="13" xfId="0" applyFont="1" applyFill="1" applyBorder="1" applyAlignment="1">
      <alignment horizontal="center" vertical="center"/>
    </xf>
    <xf numFmtId="166" fontId="24" fillId="3" borderId="13" xfId="0" applyNumberFormat="1" applyFont="1" applyFill="1" applyBorder="1" applyAlignment="1">
      <alignment horizontal="right" vertical="center"/>
    </xf>
    <xf numFmtId="169" fontId="5" fillId="0" borderId="13" xfId="0" applyNumberFormat="1" applyFont="1" applyBorder="1" applyAlignment="1">
      <alignment horizontal="right" vertical="center"/>
    </xf>
    <xf numFmtId="171" fontId="5" fillId="0" borderId="13" xfId="0" applyNumberFormat="1" applyFont="1" applyBorder="1" applyAlignment="1">
      <alignment horizontal="right" vertical="center"/>
    </xf>
    <xf numFmtId="172" fontId="11" fillId="0" borderId="13" xfId="0" applyNumberFormat="1" applyFont="1" applyBorder="1" applyAlignment="1">
      <alignment horizontal="right" vertical="center"/>
    </xf>
    <xf numFmtId="172" fontId="5" fillId="0" borderId="13" xfId="0" applyNumberFormat="1" applyFont="1" applyBorder="1" applyAlignment="1">
      <alignment horizontal="right" vertical="center"/>
    </xf>
    <xf numFmtId="173" fontId="11" fillId="0" borderId="13" xfId="0" applyNumberFormat="1" applyFont="1" applyBorder="1" applyAlignment="1">
      <alignment horizontal="right" vertical="center"/>
    </xf>
    <xf numFmtId="173" fontId="5" fillId="0" borderId="13" xfId="0" applyNumberFormat="1" applyFont="1" applyBorder="1" applyAlignment="1">
      <alignment horizontal="right" vertical="center"/>
    </xf>
    <xf numFmtId="174" fontId="11" fillId="0" borderId="13" xfId="0" applyNumberFormat="1" applyFont="1" applyBorder="1" applyAlignment="1">
      <alignment horizontal="right" vertical="center"/>
    </xf>
    <xf numFmtId="174" fontId="5" fillId="0" borderId="13" xfId="0" applyNumberFormat="1" applyFont="1" applyBorder="1" applyAlignment="1">
      <alignment horizontal="right" vertical="center"/>
    </xf>
    <xf numFmtId="0" fontId="28" fillId="0" borderId="13" xfId="0" applyFont="1" applyBorder="1" applyAlignment="1">
      <alignment horizontal="right" vertical="center"/>
    </xf>
    <xf numFmtId="0" fontId="39" fillId="0" borderId="13" xfId="0" applyFont="1" applyBorder="1" applyAlignment="1">
      <alignment horizontal="left" vertical="center" indent="1"/>
    </xf>
    <xf numFmtId="166" fontId="39" fillId="0" borderId="13" xfId="0" applyNumberFormat="1" applyFont="1" applyBorder="1" applyAlignment="1">
      <alignment horizontal="right" vertical="center"/>
    </xf>
    <xf numFmtId="169" fontId="39" fillId="0" borderId="13" xfId="0" applyNumberFormat="1" applyFont="1" applyBorder="1" applyAlignment="1">
      <alignment horizontal="right" vertical="center"/>
    </xf>
    <xf numFmtId="0" fontId="40" fillId="3" borderId="13" xfId="0" applyFont="1" applyFill="1" applyBorder="1" applyAlignment="1">
      <alignment horizontal="left" vertical="center" indent="1"/>
    </xf>
    <xf numFmtId="175" fontId="4" fillId="3" borderId="13" xfId="0" applyNumberFormat="1" applyFont="1" applyFill="1" applyBorder="1" applyAlignment="1">
      <alignment horizontal="center" vertical="center"/>
    </xf>
    <xf numFmtId="0" fontId="40" fillId="0" borderId="13" xfId="0" applyFont="1" applyBorder="1" applyAlignment="1">
      <alignment horizontal="left" vertical="center" indent="1"/>
    </xf>
    <xf numFmtId="0" fontId="7" fillId="0" borderId="13" xfId="0" applyFont="1" applyBorder="1" applyAlignment="1">
      <alignment horizontal="center" vertical="center"/>
    </xf>
    <xf numFmtId="176" fontId="9" fillId="0" borderId="13" xfId="0" applyNumberFormat="1" applyFont="1" applyBorder="1" applyAlignment="1">
      <alignment horizontal="center" vertical="center"/>
    </xf>
    <xf numFmtId="175" fontId="9" fillId="0" borderId="13" xfId="0" applyNumberFormat="1" applyFont="1" applyBorder="1" applyAlignment="1">
      <alignment horizontal="center" vertical="center"/>
    </xf>
    <xf numFmtId="169" fontId="9" fillId="0" borderId="13" xfId="0" applyNumberFormat="1" applyFont="1" applyBorder="1" applyAlignment="1">
      <alignment horizontal="center" vertical="center"/>
    </xf>
    <xf numFmtId="168" fontId="9" fillId="0" borderId="13" xfId="0" applyNumberFormat="1" applyFont="1" applyBorder="1" applyAlignment="1">
      <alignment horizontal="center" vertical="center"/>
    </xf>
    <xf numFmtId="0" fontId="41" fillId="0" borderId="13" xfId="0" applyFont="1" applyBorder="1" applyAlignment="1">
      <alignment horizontal="left" vertical="center" indent="2"/>
    </xf>
    <xf numFmtId="169" fontId="41" fillId="0" borderId="13" xfId="0" applyNumberFormat="1" applyFont="1" applyBorder="1" applyAlignment="1">
      <alignment horizontal="right" vertical="center"/>
    </xf>
    <xf numFmtId="176" fontId="42" fillId="0" borderId="13" xfId="0" applyNumberFormat="1" applyFont="1" applyBorder="1" applyAlignment="1">
      <alignment horizontal="center" vertical="center"/>
    </xf>
    <xf numFmtId="1" fontId="26" fillId="0" borderId="13" xfId="0" applyNumberFormat="1" applyFont="1" applyBorder="1" applyAlignment="1">
      <alignment horizontal="center" vertical="center"/>
    </xf>
    <xf numFmtId="171" fontId="41" fillId="0" borderId="13" xfId="0" applyNumberFormat="1" applyFont="1" applyBorder="1" applyAlignment="1">
      <alignment horizontal="right" vertical="center"/>
    </xf>
    <xf numFmtId="166" fontId="41" fillId="0" borderId="13" xfId="0" applyNumberFormat="1" applyFont="1" applyBorder="1" applyAlignment="1">
      <alignment horizontal="right" vertical="center"/>
    </xf>
    <xf numFmtId="0" fontId="42" fillId="0" borderId="11" xfId="0" applyFont="1" applyBorder="1" applyAlignment="1">
      <alignment horizontal="left" vertical="center" indent="2"/>
    </xf>
    <xf numFmtId="0" fontId="0" fillId="0" borderId="11" xfId="0" applyBorder="1"/>
    <xf numFmtId="176" fontId="13" fillId="0" borderId="11" xfId="0" applyNumberFormat="1" applyFont="1" applyBorder="1" applyAlignment="1">
      <alignment horizontal="center" vertical="center"/>
    </xf>
    <xf numFmtId="1" fontId="13" fillId="0" borderId="11" xfId="0" applyNumberFormat="1" applyFont="1" applyBorder="1" applyAlignment="1">
      <alignment horizontal="center" vertical="center"/>
    </xf>
    <xf numFmtId="174" fontId="41" fillId="0" borderId="13" xfId="0" applyNumberFormat="1" applyFont="1" applyBorder="1" applyAlignment="1">
      <alignment horizontal="right" vertical="center"/>
    </xf>
    <xf numFmtId="177" fontId="41" fillId="0" borderId="13" xfId="0" applyNumberFormat="1" applyFont="1" applyBorder="1" applyAlignment="1">
      <alignment horizontal="right" vertical="center"/>
    </xf>
    <xf numFmtId="172" fontId="41" fillId="0" borderId="13" xfId="0" applyNumberFormat="1" applyFont="1" applyBorder="1" applyAlignment="1">
      <alignment horizontal="right" vertical="center"/>
    </xf>
    <xf numFmtId="0" fontId="32" fillId="0" borderId="13" xfId="0" applyFont="1" applyBorder="1" applyAlignment="1">
      <alignment horizontal="center" vertical="top"/>
    </xf>
    <xf numFmtId="0" fontId="24" fillId="0" borderId="13" xfId="0" applyFont="1" applyBorder="1" applyAlignment="1">
      <alignment horizontal="left" vertical="top" wrapText="1" indent="1"/>
    </xf>
    <xf numFmtId="0" fontId="28" fillId="0" borderId="13" xfId="0" applyFont="1" applyBorder="1" applyAlignment="1">
      <alignment horizontal="center" vertical="top"/>
    </xf>
    <xf numFmtId="0" fontId="41" fillId="0" borderId="13" xfId="0" applyFont="1" applyBorder="1" applyAlignment="1">
      <alignment horizontal="left" vertical="top" wrapText="1" indent="1"/>
    </xf>
    <xf numFmtId="0" fontId="24" fillId="0" borderId="13" xfId="0" applyFont="1" applyBorder="1" applyAlignment="1">
      <alignment horizontal="left" vertical="center" indent="1"/>
    </xf>
    <xf numFmtId="0" fontId="28" fillId="0" borderId="13" xfId="0" applyFont="1" applyBorder="1" applyAlignment="1">
      <alignment horizontal="center" vertical="center"/>
    </xf>
    <xf numFmtId="0" fontId="41" fillId="0" borderId="13" xfId="0" applyFont="1" applyBorder="1" applyAlignment="1">
      <alignment horizontal="left" vertical="center" wrapText="1" indent="1"/>
    </xf>
    <xf numFmtId="0" fontId="0" fillId="5" borderId="15" xfId="0" applyFill="1" applyBorder="1"/>
    <xf numFmtId="0" fontId="0" fillId="5" borderId="16" xfId="0" applyFill="1" applyBorder="1"/>
    <xf numFmtId="0" fontId="0" fillId="5" borderId="17" xfId="0" applyFill="1" applyBorder="1"/>
    <xf numFmtId="0" fontId="0" fillId="2" borderId="15" xfId="0" applyFill="1" applyBorder="1"/>
    <xf numFmtId="0" fontId="0" fillId="2" borderId="16" xfId="0" applyFill="1" applyBorder="1"/>
    <xf numFmtId="0" fontId="0" fillId="2" borderId="17" xfId="0" applyFill="1" applyBorder="1"/>
    <xf numFmtId="0" fontId="48" fillId="3" borderId="18" xfId="0" applyFont="1" applyFill="1" applyBorder="1" applyAlignment="1">
      <alignment horizontal="right" vertical="center"/>
    </xf>
    <xf numFmtId="0" fontId="48" fillId="0" borderId="18" xfId="0" applyFont="1" applyBorder="1" applyAlignment="1">
      <alignment horizontal="right" vertical="center"/>
    </xf>
    <xf numFmtId="0" fontId="48" fillId="0" borderId="20" xfId="0" applyFont="1" applyBorder="1" applyAlignment="1">
      <alignment horizontal="right" vertical="center"/>
    </xf>
    <xf numFmtId="0" fontId="15" fillId="3" borderId="8" xfId="0" applyFont="1" applyFill="1" applyBorder="1" applyAlignment="1">
      <alignment horizontal="left" vertical="center" indent="1"/>
    </xf>
    <xf numFmtId="0" fontId="16" fillId="3" borderId="9" xfId="0" applyFont="1" applyFill="1" applyBorder="1" applyAlignment="1">
      <alignment horizontal="left" vertical="top" wrapText="1" indent="1"/>
    </xf>
    <xf numFmtId="0" fontId="17" fillId="2" borderId="0" xfId="0" applyFont="1" applyFill="1" applyAlignment="1">
      <alignment horizontal="center" vertical="center" wrapText="1"/>
    </xf>
    <xf numFmtId="0" fontId="18" fillId="2" borderId="0" xfId="0" applyFont="1" applyFill="1" applyAlignment="1">
      <alignment horizontal="center" vertical="center" wrapText="1"/>
    </xf>
    <xf numFmtId="0" fontId="19" fillId="2" borderId="0" xfId="0" applyFont="1" applyFill="1" applyAlignment="1">
      <alignment horizontal="center" vertical="center" wrapText="1"/>
    </xf>
    <xf numFmtId="0" fontId="20" fillId="2" borderId="0" xfId="0" applyFont="1" applyFill="1" applyAlignment="1">
      <alignment horizontal="left" vertical="center"/>
    </xf>
    <xf numFmtId="0" fontId="21" fillId="2" borderId="0" xfId="0" applyFont="1" applyFill="1" applyAlignment="1">
      <alignment horizontal="left" vertical="center"/>
    </xf>
    <xf numFmtId="0" fontId="22" fillId="5" borderId="0" xfId="0" applyFont="1" applyFill="1" applyAlignment="1">
      <alignment horizontal="left" vertical="center" indent="1"/>
    </xf>
    <xf numFmtId="0" fontId="27" fillId="0" borderId="0" xfId="0" applyFont="1" applyAlignment="1">
      <alignment horizontal="left" vertical="center" indent="1"/>
    </xf>
    <xf numFmtId="0" fontId="29" fillId="0" borderId="0" xfId="0" applyFont="1" applyAlignment="1">
      <alignment horizontal="left" vertical="center" indent="1"/>
    </xf>
    <xf numFmtId="0" fontId="30" fillId="0" borderId="12" xfId="0" applyFont="1" applyBorder="1" applyAlignment="1">
      <alignment horizontal="left" vertical="top" wrapText="1" indent="1"/>
    </xf>
    <xf numFmtId="0" fontId="8" fillId="0" borderId="0" xfId="0" applyFont="1" applyAlignment="1">
      <alignment horizontal="left" vertical="center" indent="1"/>
    </xf>
    <xf numFmtId="0" fontId="20" fillId="2" borderId="0" xfId="0" applyFont="1" applyFill="1" applyAlignment="1">
      <alignment horizontal="left" vertical="center" indent="1"/>
    </xf>
    <xf numFmtId="0" fontId="21" fillId="2" borderId="0" xfId="0" applyFont="1" applyFill="1" applyAlignment="1">
      <alignment horizontal="left" vertical="center" indent="1"/>
    </xf>
    <xf numFmtId="0" fontId="11" fillId="0" borderId="13" xfId="0" applyFont="1" applyBorder="1" applyAlignment="1">
      <alignment horizontal="left" vertical="center" indent="1"/>
    </xf>
    <xf numFmtId="0" fontId="24" fillId="3" borderId="13" xfId="0" applyFont="1" applyFill="1" applyBorder="1" applyAlignment="1">
      <alignment horizontal="left" vertical="center" indent="1"/>
    </xf>
    <xf numFmtId="0" fontId="24" fillId="0" borderId="0" xfId="0" applyFont="1" applyAlignment="1">
      <alignment horizontal="left" vertical="center" indent="1"/>
    </xf>
    <xf numFmtId="0" fontId="28" fillId="0" borderId="0" xfId="0" applyFont="1" applyAlignment="1">
      <alignment horizontal="center" vertical="center"/>
    </xf>
    <xf numFmtId="0" fontId="26" fillId="0" borderId="12" xfId="0" applyFont="1" applyBorder="1" applyAlignment="1">
      <alignment horizontal="left" vertical="top" wrapText="1" indent="1"/>
    </xf>
    <xf numFmtId="0" fontId="33" fillId="2" borderId="0" xfId="0" applyFont="1" applyFill="1" applyAlignment="1">
      <alignment horizontal="left" vertical="center" indent="1"/>
    </xf>
    <xf numFmtId="0" fontId="34" fillId="2" borderId="0" xfId="0" applyFont="1" applyFill="1" applyAlignment="1">
      <alignment horizontal="left" vertical="center" indent="1"/>
    </xf>
    <xf numFmtId="0" fontId="35" fillId="2" borderId="0" xfId="0" applyFont="1" applyFill="1" applyAlignment="1">
      <alignment horizontal="right" vertical="center" indent="1"/>
    </xf>
    <xf numFmtId="0" fontId="36" fillId="2" borderId="0" xfId="0" applyFont="1" applyFill="1" applyAlignment="1">
      <alignment horizontal="left" vertical="center" indent="1"/>
    </xf>
    <xf numFmtId="0" fontId="29" fillId="0" borderId="0" xfId="0" applyFont="1" applyAlignment="1">
      <alignment horizontal="left" vertical="top" wrapText="1" indent="1"/>
    </xf>
    <xf numFmtId="0" fontId="38" fillId="2" borderId="0" xfId="0" applyFont="1" applyFill="1" applyAlignment="1">
      <alignment horizontal="left" vertical="center" indent="1"/>
    </xf>
    <xf numFmtId="0" fontId="32" fillId="3" borderId="0" xfId="0" applyFont="1" applyFill="1" applyAlignment="1">
      <alignment horizontal="left" vertical="center" indent="1"/>
    </xf>
    <xf numFmtId="0" fontId="43" fillId="0" borderId="0" xfId="0" applyFont="1" applyAlignment="1">
      <alignment horizontal="left" vertical="center" indent="1"/>
    </xf>
    <xf numFmtId="0" fontId="33" fillId="2" borderId="0" xfId="0" applyFont="1" applyFill="1" applyAlignment="1">
      <alignment horizontal="left"/>
    </xf>
    <xf numFmtId="0" fontId="18" fillId="2" borderId="0" xfId="0" applyFont="1" applyFill="1" applyAlignment="1">
      <alignment horizontal="right" vertical="center"/>
    </xf>
    <xf numFmtId="0" fontId="44" fillId="2" borderId="0" xfId="0" applyFont="1" applyFill="1" applyAlignment="1">
      <alignment horizontal="left" vertical="center"/>
    </xf>
    <xf numFmtId="0" fontId="0" fillId="3" borderId="8" xfId="0" applyFill="1" applyBorder="1"/>
    <xf numFmtId="0" fontId="45" fillId="3" borderId="14" xfId="0" applyFont="1" applyFill="1" applyBorder="1" applyAlignment="1">
      <alignment horizontal="left" vertical="center" indent="1"/>
    </xf>
    <xf numFmtId="0" fontId="13" fillId="3" borderId="14" xfId="0" applyFont="1" applyFill="1" applyBorder="1" applyAlignment="1">
      <alignment horizontal="left" vertical="center" indent="1"/>
    </xf>
    <xf numFmtId="0" fontId="46" fillId="3" borderId="9" xfId="0" applyFont="1" applyFill="1" applyBorder="1" applyAlignment="1">
      <alignment horizontal="left" vertical="center" indent="1"/>
    </xf>
    <xf numFmtId="0" fontId="45" fillId="3" borderId="14" xfId="0" applyFont="1" applyFill="1" applyBorder="1" applyAlignment="1">
      <alignment horizontal="left" vertical="center" wrapText="1" indent="1"/>
    </xf>
    <xf numFmtId="169" fontId="47" fillId="3" borderId="14" xfId="0" applyNumberFormat="1" applyFont="1" applyFill="1" applyBorder="1" applyAlignment="1">
      <alignment horizontal="left" vertical="center" indent="1"/>
    </xf>
    <xf numFmtId="166" fontId="47" fillId="3" borderId="14" xfId="0" applyNumberFormat="1" applyFont="1" applyFill="1" applyBorder="1" applyAlignment="1">
      <alignment horizontal="left" vertical="center" indent="1"/>
    </xf>
    <xf numFmtId="174" fontId="47" fillId="3" borderId="14" xfId="0" applyNumberFormat="1" applyFont="1" applyFill="1" applyBorder="1" applyAlignment="1">
      <alignment horizontal="left" vertical="center" indent="1"/>
    </xf>
    <xf numFmtId="0" fontId="42" fillId="0" borderId="1" xfId="0" applyFont="1" applyBorder="1" applyAlignment="1">
      <alignment horizontal="left" vertical="center"/>
    </xf>
    <xf numFmtId="0" fontId="22" fillId="2" borderId="8" xfId="0" applyFont="1" applyFill="1" applyBorder="1" applyAlignment="1">
      <alignment horizontal="left" vertical="center" indent="1"/>
    </xf>
    <xf numFmtId="0" fontId="49" fillId="3" borderId="19" xfId="0" applyFont="1" applyFill="1" applyBorder="1" applyAlignment="1">
      <alignment horizontal="left" vertical="center"/>
    </xf>
    <xf numFmtId="0" fontId="49" fillId="0" borderId="19" xfId="0" applyFont="1" applyBorder="1" applyAlignment="1">
      <alignment horizontal="left" vertical="center"/>
    </xf>
    <xf numFmtId="0" fontId="49" fillId="0" borderId="21" xfId="0" applyFont="1" applyBorder="1" applyAlignment="1">
      <alignment horizontal="left" vertical="center"/>
    </xf>
    <xf numFmtId="0" fontId="42" fillId="3" borderId="12" xfId="0" applyFont="1" applyFill="1" applyBorder="1" applyAlignment="1">
      <alignment horizontal="left" vertical="center" indent="1"/>
    </xf>
    <xf numFmtId="0" fontId="8" fillId="0" borderId="0" xfId="0" applyFont="1" applyAlignment="1">
      <alignment horizontal="left" vertical="center" wrapText="1"/>
    </xf>
    <xf numFmtId="0" fontId="23" fillId="0" borderId="0" xfId="0" applyFont="1" applyAlignment="1">
      <alignment horizontal="center" vertical="center"/>
    </xf>
    <xf numFmtId="0" fontId="28" fillId="3" borderId="0" xfId="0" applyFont="1" applyFill="1" applyAlignment="1">
      <alignment horizontal="center" vertical="center" wrapText="1"/>
    </xf>
  </cellXfs>
  <cellStyles count="1">
    <cellStyle name="Normal" xfId="0" builtinId="0"/>
  </cellStyles>
  <dxfs count="4">
    <dxf>
      <fill>
        <patternFill>
          <bgColor rgb="FFB9C2C9"/>
        </patternFill>
      </fill>
    </dxf>
    <dxf>
      <fill>
        <patternFill>
          <bgColor rgb="FF8A5A3C"/>
        </patternFill>
      </fill>
    </dxf>
    <dxf>
      <fill>
        <patternFill>
          <bgColor rgb="FF083152"/>
        </patternFill>
      </fill>
    </dxf>
    <dxf>
      <fill>
        <patternFill>
          <bgColor rgb="FF23727C"/>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3727C"/>
      <rgbColor rgb="FFB9C2C9"/>
      <rgbColor rgb="FF878787"/>
      <rgbColor rgb="FF8FB8C9"/>
      <rgbColor rgb="FF8A5A3C"/>
      <rgbColor rgb="FFF4F6F8"/>
      <rgbColor rgb="FFEDF4F5"/>
      <rgbColor rgb="FF660066"/>
      <rgbColor rgb="FFFF8080"/>
      <rgbColor rgb="FF0066CC"/>
      <rgbColor rgb="FFC7D9E2"/>
      <rgbColor rgb="FF000080"/>
      <rgbColor rgb="FFFF00FF"/>
      <rgbColor rgb="FFFFFF00"/>
      <rgbColor rgb="FF00FFFF"/>
      <rgbColor rgb="FF800080"/>
      <rgbColor rgb="FF800000"/>
      <rgbColor rgb="FF008080"/>
      <rgbColor rgb="FF0000FF"/>
      <rgbColor rgb="FF00CCFF"/>
      <rgbColor rgb="FFCCFFFF"/>
      <rgbColor rgb="FFD6DDE2"/>
      <rgbColor rgb="FFFFFF99"/>
      <rgbColor rgb="FF9FBECF"/>
      <rgbColor rgb="FFFF99CC"/>
      <rgbColor rgb="FF9FC0C6"/>
      <rgbColor rgb="FFD9D9D9"/>
      <rgbColor rgb="FF3366FF"/>
      <rgbColor rgb="FF6FB3BC"/>
      <rgbColor rgb="FF99CC00"/>
      <rgbColor rgb="FFFFCC00"/>
      <rgbColor rgb="FFFF9900"/>
      <rgbColor rgb="FFFF6600"/>
      <rgbColor rgb="FF6B7A85"/>
      <rgbColor rgb="FF7FA3B5"/>
      <rgbColor rgb="FF083152"/>
      <rgbColor rgb="FF339966"/>
      <rgbColor rgb="FF003300"/>
      <rgbColor rgb="FF333300"/>
      <rgbColor rgb="FF993300"/>
      <rgbColor rgb="FF993366"/>
      <rgbColor rgb="FF0B4A63"/>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Current Period</c:v>
          </c:tx>
          <c:spPr>
            <a:solidFill>
              <a:srgbClr val="08315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'FINANCIAL ANALYSIS'!$B$61:$B$63</c:f>
              <c:strCache>
                <c:ptCount val="3"/>
                <c:pt idx="0">
                  <c:v>Revenue</c:v>
                </c:pt>
                <c:pt idx="1">
                  <c:v>Gross Profit</c:v>
                </c:pt>
                <c:pt idx="2">
                  <c:v>Operating Profit</c:v>
                </c:pt>
              </c:strCache>
            </c:strRef>
          </c:cat>
          <c:val>
            <c:numRef>
              <c:f>'FINANCIAL ANALYSIS'!$C$61:$C$63</c:f>
              <c:numCache>
                <c:formatCode>\$#,##0;\(\$#,##0\);"-"</c:formatCode>
                <c:ptCount val="3"/>
                <c:pt idx="0">
                  <c:v>1840000</c:v>
                </c:pt>
                <c:pt idx="1">
                  <c:v>956800</c:v>
                </c:pt>
                <c:pt idx="2">
                  <c:v>118800</c:v>
                </c:pt>
              </c:numCache>
            </c:numRef>
          </c:val>
          <c:extLst>
            <c:ext xmlns:c16="http://schemas.microsoft.com/office/drawing/2014/chart" uri="{C3380CC4-5D6E-409C-BE32-E72D297353CC}">
              <c16:uniqueId val="{00000000-BBC5-4F37-8A84-306CAD5D18AF}"/>
            </c:ext>
          </c:extLst>
        </c:ser>
        <c:ser>
          <c:idx val="1"/>
          <c:order val="1"/>
          <c:tx>
            <c:v>Prior Period</c:v>
          </c:tx>
          <c:spPr>
            <a:solidFill>
              <a:srgbClr val="9FC0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'FINANCIAL ANALYSIS'!$B$61:$B$63</c:f>
              <c:strCache>
                <c:ptCount val="3"/>
                <c:pt idx="0">
                  <c:v>Revenue</c:v>
                </c:pt>
                <c:pt idx="1">
                  <c:v>Gross Profit</c:v>
                </c:pt>
                <c:pt idx="2">
                  <c:v>Operating Profit</c:v>
                </c:pt>
              </c:strCache>
            </c:strRef>
          </c:cat>
          <c:val>
            <c:numRef>
              <c:f>'FINANCIAL ANALYSIS'!$D$61:$D$63</c:f>
              <c:numCache>
                <c:formatCode>\$#,##0;\(\$#,##0\);"-"</c:formatCode>
                <c:ptCount val="3"/>
                <c:pt idx="0">
                  <c:v>1620000</c:v>
                </c:pt>
                <c:pt idx="1">
                  <c:v>870750</c:v>
                </c:pt>
                <c:pt idx="2">
                  <c:v>125750</c:v>
                </c:pt>
              </c:numCache>
            </c:numRef>
          </c:val>
          <c:extLst>
            <c:ext xmlns:c16="http://schemas.microsoft.com/office/drawing/2014/chart" uri="{C3380CC4-5D6E-409C-BE32-E72D297353CC}">
              <c16:uniqueId val="{00000001-BBC5-4F37-8A84-306CAD5D18AF}"/>
            </c:ext>
          </c:extLst>
        </c:ser>
        <c:dLbls>
          <c:showLegendKey val="0"/>
          <c:showVal val="0"/>
          <c:showCatName val="0"/>
          <c:showSerName val="0"/>
          <c:showPercent val="0"/>
          <c:showBubbleSize val="0"/>
        </c:dLbls>
        <c:gapWidth val="60"/>
        <c:overlap val="-12"/>
        <c:axId val="38031855"/>
        <c:axId val="64821148"/>
      </c:barChart>
      <c:catAx>
        <c:axId val="38031855"/>
        <c:scaling>
          <c:orientation val="minMax"/>
        </c:scaling>
        <c:delete val="0"/>
        <c:axPos val="b"/>
        <c:numFmt formatCode="General" sourceLinked="0"/>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64821148"/>
        <c:crosses val="autoZero"/>
        <c:auto val="1"/>
        <c:lblAlgn val="ctr"/>
        <c:lblOffset val="100"/>
        <c:tickLblSkip val="1"/>
        <c:tickMarkSkip val="1"/>
        <c:noMultiLvlLbl val="0"/>
      </c:catAx>
      <c:valAx>
        <c:axId val="6482114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8031855"/>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Current Period</c:v>
          </c:tx>
          <c:spPr>
            <a:solidFill>
              <a:srgbClr val="08315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'FINANCIAL ANALYSIS'!$B$65:$B$67</c:f>
              <c:strCache>
                <c:ptCount val="3"/>
                <c:pt idx="0">
                  <c:v>Gross Margin</c:v>
                </c:pt>
                <c:pt idx="1">
                  <c:v>Operating Margin</c:v>
                </c:pt>
                <c:pt idx="2">
                  <c:v>Net Margin</c:v>
                </c:pt>
              </c:strCache>
            </c:strRef>
          </c:cat>
          <c:val>
            <c:numRef>
              <c:f>'FINANCIAL ANALYSIS'!$C$65:$C$67</c:f>
              <c:numCache>
                <c:formatCode>0.0%</c:formatCode>
                <c:ptCount val="3"/>
                <c:pt idx="0">
                  <c:v>0.52</c:v>
                </c:pt>
                <c:pt idx="1">
                  <c:v>6.4565217391304344E-2</c:v>
                </c:pt>
                <c:pt idx="2">
                  <c:v>4.4565217391304347E-2</c:v>
                </c:pt>
              </c:numCache>
            </c:numRef>
          </c:val>
          <c:extLst>
            <c:ext xmlns:c16="http://schemas.microsoft.com/office/drawing/2014/chart" uri="{C3380CC4-5D6E-409C-BE32-E72D297353CC}">
              <c16:uniqueId val="{00000000-71B5-4097-96C0-AB40B1359A8D}"/>
            </c:ext>
          </c:extLst>
        </c:ser>
        <c:ser>
          <c:idx val="1"/>
          <c:order val="1"/>
          <c:tx>
            <c:v>Prior Period</c:v>
          </c:tx>
          <c:spPr>
            <a:solidFill>
              <a:srgbClr val="9FC0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'FINANCIAL ANALYSIS'!$B$65:$B$67</c:f>
              <c:strCache>
                <c:ptCount val="3"/>
                <c:pt idx="0">
                  <c:v>Gross Margin</c:v>
                </c:pt>
                <c:pt idx="1">
                  <c:v>Operating Margin</c:v>
                </c:pt>
                <c:pt idx="2">
                  <c:v>Net Margin</c:v>
                </c:pt>
              </c:strCache>
            </c:strRef>
          </c:cat>
          <c:val>
            <c:numRef>
              <c:f>'FINANCIAL ANALYSIS'!$D$65:$D$67</c:f>
              <c:numCache>
                <c:formatCode>0.0%</c:formatCode>
                <c:ptCount val="3"/>
                <c:pt idx="0">
                  <c:v>0.53749999999999998</c:v>
                </c:pt>
                <c:pt idx="1">
                  <c:v>7.762345679012346E-2</c:v>
                </c:pt>
                <c:pt idx="2">
                  <c:v>5.4629629629629632E-2</c:v>
                </c:pt>
              </c:numCache>
            </c:numRef>
          </c:val>
          <c:extLst>
            <c:ext xmlns:c16="http://schemas.microsoft.com/office/drawing/2014/chart" uri="{C3380CC4-5D6E-409C-BE32-E72D297353CC}">
              <c16:uniqueId val="{00000001-71B5-4097-96C0-AB40B1359A8D}"/>
            </c:ext>
          </c:extLst>
        </c:ser>
        <c:dLbls>
          <c:showLegendKey val="0"/>
          <c:showVal val="0"/>
          <c:showCatName val="0"/>
          <c:showSerName val="0"/>
          <c:showPercent val="0"/>
          <c:showBubbleSize val="0"/>
        </c:dLbls>
        <c:gapWidth val="60"/>
        <c:overlap val="-12"/>
        <c:axId val="23418268"/>
        <c:axId val="25954570"/>
      </c:barChart>
      <c:catAx>
        <c:axId val="23418268"/>
        <c:scaling>
          <c:orientation val="minMax"/>
        </c:scaling>
        <c:delete val="0"/>
        <c:axPos val="b"/>
        <c:numFmt formatCode="General" sourceLinked="0"/>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25954570"/>
        <c:crosses val="autoZero"/>
        <c:auto val="1"/>
        <c:lblAlgn val="ctr"/>
        <c:lblOffset val="100"/>
        <c:tickLblSkip val="1"/>
        <c:tickMarkSkip val="1"/>
        <c:noMultiLvlLbl val="0"/>
      </c:catAx>
      <c:valAx>
        <c:axId val="25954570"/>
        <c:scaling>
          <c:orientation val="minMax"/>
        </c:scaling>
        <c:delete val="0"/>
        <c:axPos val="l"/>
        <c:majorGridlines>
          <c:spPr>
            <a:ln w="9360">
              <a:solidFill>
                <a:srgbClr val="878787"/>
              </a:solidFill>
              <a:round/>
            </a:ln>
          </c:spPr>
        </c:majorGridlines>
        <c:numFmt formatCode="0.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23418268"/>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Current Period</c:v>
          </c:tx>
          <c:spPr>
            <a:solidFill>
              <a:srgbClr val="08315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'FINANCIAL ANALYSIS'!$B$69:$B$71</c:f>
              <c:strCache>
                <c:ptCount val="3"/>
                <c:pt idx="0">
                  <c:v>Net Income</c:v>
                </c:pt>
                <c:pt idx="1">
                  <c:v>Operating Cash Flow</c:v>
                </c:pt>
                <c:pt idx="2">
                  <c:v>Free Cash Flow</c:v>
                </c:pt>
              </c:strCache>
            </c:strRef>
          </c:cat>
          <c:val>
            <c:numRef>
              <c:f>'FINANCIAL ANALYSIS'!$C$69:$C$71</c:f>
              <c:numCache>
                <c:formatCode>\$#,##0;\(\$#,##0\);"-"</c:formatCode>
                <c:ptCount val="3"/>
                <c:pt idx="0">
                  <c:v>82000</c:v>
                </c:pt>
                <c:pt idx="1">
                  <c:v>61000</c:v>
                </c:pt>
                <c:pt idx="2">
                  <c:v>19000</c:v>
                </c:pt>
              </c:numCache>
            </c:numRef>
          </c:val>
          <c:extLst>
            <c:ext xmlns:c16="http://schemas.microsoft.com/office/drawing/2014/chart" uri="{C3380CC4-5D6E-409C-BE32-E72D297353CC}">
              <c16:uniqueId val="{00000000-087B-4EE5-9640-0061BC3FEFD6}"/>
            </c:ext>
          </c:extLst>
        </c:ser>
        <c:ser>
          <c:idx val="1"/>
          <c:order val="1"/>
          <c:tx>
            <c:v>Prior Period</c:v>
          </c:tx>
          <c:spPr>
            <a:solidFill>
              <a:srgbClr val="9FC0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'FINANCIAL ANALYSIS'!$B$69:$B$71</c:f>
              <c:strCache>
                <c:ptCount val="3"/>
                <c:pt idx="0">
                  <c:v>Net Income</c:v>
                </c:pt>
                <c:pt idx="1">
                  <c:v>Operating Cash Flow</c:v>
                </c:pt>
                <c:pt idx="2">
                  <c:v>Free Cash Flow</c:v>
                </c:pt>
              </c:strCache>
            </c:strRef>
          </c:cat>
          <c:val>
            <c:numRef>
              <c:f>'FINANCIAL ANALYSIS'!$D$69:$D$71</c:f>
              <c:numCache>
                <c:formatCode>\$#,##0;\(\$#,##0\);"-"</c:formatCode>
                <c:ptCount val="3"/>
                <c:pt idx="0">
                  <c:v>88500</c:v>
                </c:pt>
                <c:pt idx="1">
                  <c:v>104000</c:v>
                </c:pt>
                <c:pt idx="2">
                  <c:v>78000</c:v>
                </c:pt>
              </c:numCache>
            </c:numRef>
          </c:val>
          <c:extLst>
            <c:ext xmlns:c16="http://schemas.microsoft.com/office/drawing/2014/chart" uri="{C3380CC4-5D6E-409C-BE32-E72D297353CC}">
              <c16:uniqueId val="{00000001-087B-4EE5-9640-0061BC3FEFD6}"/>
            </c:ext>
          </c:extLst>
        </c:ser>
        <c:dLbls>
          <c:showLegendKey val="0"/>
          <c:showVal val="0"/>
          <c:showCatName val="0"/>
          <c:showSerName val="0"/>
          <c:showPercent val="0"/>
          <c:showBubbleSize val="0"/>
        </c:dLbls>
        <c:gapWidth val="60"/>
        <c:overlap val="-12"/>
        <c:axId val="66751635"/>
        <c:axId val="29490839"/>
      </c:barChart>
      <c:catAx>
        <c:axId val="66751635"/>
        <c:scaling>
          <c:orientation val="minMax"/>
        </c:scaling>
        <c:delete val="0"/>
        <c:axPos val="b"/>
        <c:numFmt formatCode="General" sourceLinked="0"/>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29490839"/>
        <c:crosses val="autoZero"/>
        <c:auto val="1"/>
        <c:lblAlgn val="ctr"/>
        <c:lblOffset val="100"/>
        <c:tickLblSkip val="1"/>
        <c:tickMarkSkip val="1"/>
        <c:noMultiLvlLbl val="0"/>
      </c:catAx>
      <c:valAx>
        <c:axId val="29490839"/>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66751635"/>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Current Period</c:v>
          </c:tx>
          <c:spPr>
            <a:solidFill>
              <a:srgbClr val="08315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'FINANCIAL ANALYSIS'!$B$73:$B$76</c:f>
              <c:strCache>
                <c:ptCount val="4"/>
                <c:pt idx="0">
                  <c:v>Cash</c:v>
                </c:pt>
                <c:pt idx="1">
                  <c:v>Accounts Receivable</c:v>
                </c:pt>
                <c:pt idx="2">
                  <c:v>Accounts Payable</c:v>
                </c:pt>
                <c:pt idx="3">
                  <c:v>Total Debt</c:v>
                </c:pt>
              </c:strCache>
            </c:strRef>
          </c:cat>
          <c:val>
            <c:numRef>
              <c:f>'FINANCIAL ANALYSIS'!$C$73:$C$76</c:f>
              <c:numCache>
                <c:formatCode>\$#,##0;\(\$#,##0\);"-"</c:formatCode>
                <c:ptCount val="4"/>
                <c:pt idx="0">
                  <c:v>163000</c:v>
                </c:pt>
                <c:pt idx="1">
                  <c:v>322000</c:v>
                </c:pt>
                <c:pt idx="2">
                  <c:v>138000</c:v>
                </c:pt>
                <c:pt idx="3">
                  <c:v>320000</c:v>
                </c:pt>
              </c:numCache>
            </c:numRef>
          </c:val>
          <c:extLst>
            <c:ext xmlns:c16="http://schemas.microsoft.com/office/drawing/2014/chart" uri="{C3380CC4-5D6E-409C-BE32-E72D297353CC}">
              <c16:uniqueId val="{00000000-C209-4EFD-A75A-8D6FE1363D12}"/>
            </c:ext>
          </c:extLst>
        </c:ser>
        <c:ser>
          <c:idx val="1"/>
          <c:order val="1"/>
          <c:tx>
            <c:v>Prior Period</c:v>
          </c:tx>
          <c:spPr>
            <a:solidFill>
              <a:srgbClr val="9FC0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'FINANCIAL ANALYSIS'!$B$73:$B$76</c:f>
              <c:strCache>
                <c:ptCount val="4"/>
                <c:pt idx="0">
                  <c:v>Cash</c:v>
                </c:pt>
                <c:pt idx="1">
                  <c:v>Accounts Receivable</c:v>
                </c:pt>
                <c:pt idx="2">
                  <c:v>Accounts Payable</c:v>
                </c:pt>
                <c:pt idx="3">
                  <c:v>Total Debt</c:v>
                </c:pt>
              </c:strCache>
            </c:strRef>
          </c:cat>
          <c:val>
            <c:numRef>
              <c:f>'FINANCIAL ANALYSIS'!$D$73:$D$76</c:f>
              <c:numCache>
                <c:formatCode>\$#,##0;\(\$#,##0\);"-"</c:formatCode>
                <c:ptCount val="4"/>
                <c:pt idx="0">
                  <c:v>132000</c:v>
                </c:pt>
                <c:pt idx="1">
                  <c:v>248000</c:v>
                </c:pt>
                <c:pt idx="2">
                  <c:v>121000</c:v>
                </c:pt>
                <c:pt idx="3">
                  <c:v>248000</c:v>
                </c:pt>
              </c:numCache>
            </c:numRef>
          </c:val>
          <c:extLst>
            <c:ext xmlns:c16="http://schemas.microsoft.com/office/drawing/2014/chart" uri="{C3380CC4-5D6E-409C-BE32-E72D297353CC}">
              <c16:uniqueId val="{00000001-C209-4EFD-A75A-8D6FE1363D12}"/>
            </c:ext>
          </c:extLst>
        </c:ser>
        <c:dLbls>
          <c:showLegendKey val="0"/>
          <c:showVal val="0"/>
          <c:showCatName val="0"/>
          <c:showSerName val="0"/>
          <c:showPercent val="0"/>
          <c:showBubbleSize val="0"/>
        </c:dLbls>
        <c:gapWidth val="60"/>
        <c:overlap val="-12"/>
        <c:axId val="39848688"/>
        <c:axId val="20503124"/>
      </c:barChart>
      <c:catAx>
        <c:axId val="39848688"/>
        <c:scaling>
          <c:orientation val="minMax"/>
        </c:scaling>
        <c:delete val="0"/>
        <c:axPos val="b"/>
        <c:numFmt formatCode="General" sourceLinked="0"/>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20503124"/>
        <c:crosses val="autoZero"/>
        <c:auto val="1"/>
        <c:lblAlgn val="ctr"/>
        <c:lblOffset val="100"/>
        <c:tickLblSkip val="1"/>
        <c:tickMarkSkip val="1"/>
        <c:noMultiLvlLbl val="0"/>
      </c:catAx>
      <c:valAx>
        <c:axId val="2050312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9848688"/>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20</xdr:row>
      <xdr:rowOff>0</xdr:rowOff>
    </xdr:from>
    <xdr:to>
      <xdr:col>10</xdr:col>
      <xdr:colOff>13320</xdr:colOff>
      <xdr:row>32</xdr:row>
      <xdr:rowOff>160200</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20</xdr:row>
      <xdr:rowOff>0</xdr:rowOff>
    </xdr:from>
    <xdr:to>
      <xdr:col>20</xdr:col>
      <xdr:colOff>13320</xdr:colOff>
      <xdr:row>32</xdr:row>
      <xdr:rowOff>160200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34</xdr:row>
      <xdr:rowOff>0</xdr:rowOff>
    </xdr:from>
    <xdr:to>
      <xdr:col>10</xdr:col>
      <xdr:colOff>13320</xdr:colOff>
      <xdr:row>47</xdr:row>
      <xdr:rowOff>65160</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11</xdr:col>
      <xdr:colOff>0</xdr:colOff>
      <xdr:row>34</xdr:row>
      <xdr:rowOff>0</xdr:rowOff>
    </xdr:from>
    <xdr:to>
      <xdr:col>20</xdr:col>
      <xdr:colOff>13320</xdr:colOff>
      <xdr:row>47</xdr:row>
      <xdr:rowOff>65160</xdr:rowOff>
    </xdr:to>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83152"/>
    <pageSetUpPr fitToPage="1"/>
  </sheetPr>
  <dimension ref="A1:I58"/>
  <sheetViews>
    <sheetView showGridLines="0" tabSelected="1" zoomScaleNormal="100" workbookViewId="0">
      <pane ySplit="6" topLeftCell="A7" activePane="bottomLeft" state="frozen"/>
      <selection pane="bottomLeft" activeCell="B10" sqref="B10:H10"/>
    </sheetView>
  </sheetViews>
  <sheetFormatPr defaultColWidth="8.6328125" defaultRowHeight="14.5" x14ac:dyDescent="0.35"/>
  <cols>
    <col min="1" max="1" width="3" customWidth="1"/>
    <col min="2" max="2" width="4" customWidth="1"/>
    <col min="3" max="7" width="14" customWidth="1"/>
    <col min="8" max="8" width="21.7265625" customWidth="1"/>
    <col min="9" max="9" width="3" customWidth="1"/>
  </cols>
  <sheetData>
    <row r="1" spans="1:9" ht="9.75" customHeight="1" x14ac:dyDescent="0.35">
      <c r="A1" s="15"/>
      <c r="B1" s="15"/>
      <c r="C1" s="15"/>
      <c r="D1" s="15"/>
      <c r="E1" s="15"/>
      <c r="F1" s="15"/>
      <c r="G1" s="15"/>
      <c r="H1" s="15"/>
      <c r="I1" s="15"/>
    </row>
    <row r="2" spans="1:9" ht="15.75" customHeight="1" x14ac:dyDescent="0.35">
      <c r="A2" s="15"/>
      <c r="B2" s="14" t="s">
        <v>0</v>
      </c>
      <c r="C2" s="14"/>
      <c r="D2" s="14"/>
      <c r="E2" s="14"/>
      <c r="F2" s="14"/>
      <c r="G2" s="14"/>
      <c r="H2" s="14"/>
      <c r="I2" s="15"/>
    </row>
    <row r="3" spans="1:9" ht="33.75" customHeight="1" x14ac:dyDescent="0.35">
      <c r="A3" s="15"/>
      <c r="B3" s="13" t="s">
        <v>1</v>
      </c>
      <c r="C3" s="13"/>
      <c r="D3" s="13"/>
      <c r="E3" s="13"/>
      <c r="F3" s="13"/>
      <c r="G3" s="13"/>
      <c r="H3" s="13"/>
      <c r="I3" s="15"/>
    </row>
    <row r="4" spans="1:9" ht="31.5" customHeight="1" x14ac:dyDescent="0.35">
      <c r="A4" s="15"/>
      <c r="B4" s="12" t="s">
        <v>2</v>
      </c>
      <c r="C4" s="12"/>
      <c r="D4" s="12"/>
      <c r="E4" s="12"/>
      <c r="F4" s="12"/>
      <c r="G4" s="12"/>
      <c r="H4" s="12"/>
      <c r="I4" s="15"/>
    </row>
    <row r="5" spans="1:9" ht="6" customHeight="1" x14ac:dyDescent="0.35">
      <c r="A5" s="15"/>
      <c r="B5" s="15"/>
      <c r="C5" s="15"/>
      <c r="D5" s="15"/>
      <c r="E5" s="15"/>
      <c r="F5" s="15"/>
      <c r="G5" s="15"/>
      <c r="H5" s="15"/>
      <c r="I5" s="15"/>
    </row>
    <row r="6" spans="1:9" ht="6" customHeight="1" x14ac:dyDescent="0.35">
      <c r="A6" s="15"/>
      <c r="B6" s="15"/>
      <c r="C6" s="15"/>
      <c r="D6" s="15"/>
      <c r="E6" s="15"/>
      <c r="F6" s="15"/>
      <c r="G6" s="15"/>
      <c r="H6" s="15"/>
      <c r="I6" s="15"/>
    </row>
    <row r="8" spans="1:9" ht="21.75" customHeight="1" x14ac:dyDescent="0.35">
      <c r="B8" s="11" t="s">
        <v>3</v>
      </c>
      <c r="C8" s="11"/>
      <c r="D8" s="11"/>
      <c r="E8" s="11"/>
      <c r="F8" s="11"/>
      <c r="G8" s="11"/>
      <c r="H8" s="11"/>
    </row>
    <row r="9" spans="1:9" ht="6" customHeight="1" x14ac:dyDescent="0.35"/>
    <row r="10" spans="1:9" ht="30" customHeight="1" x14ac:dyDescent="0.35">
      <c r="B10" s="10" t="s">
        <v>4</v>
      </c>
      <c r="C10" s="10"/>
      <c r="D10" s="10"/>
      <c r="E10" s="10"/>
      <c r="F10" s="10"/>
      <c r="G10" s="10"/>
      <c r="H10" s="10"/>
    </row>
    <row r="11" spans="1:9" ht="15.75" customHeight="1" x14ac:dyDescent="0.35">
      <c r="B11" s="10" t="s">
        <v>5</v>
      </c>
      <c r="C11" s="10"/>
      <c r="D11" s="10"/>
      <c r="E11" s="10"/>
      <c r="F11" s="10"/>
      <c r="G11" s="10"/>
      <c r="H11" s="10"/>
    </row>
    <row r="12" spans="1:9" ht="15.75" customHeight="1" x14ac:dyDescent="0.35">
      <c r="B12" s="16" t="s">
        <v>6</v>
      </c>
      <c r="C12" s="9" t="s">
        <v>7</v>
      </c>
      <c r="D12" s="9"/>
      <c r="E12" s="9"/>
      <c r="F12" s="9"/>
      <c r="G12" s="9"/>
      <c r="H12" s="9"/>
    </row>
    <row r="13" spans="1:9" ht="15.75" customHeight="1" x14ac:dyDescent="0.35">
      <c r="B13" s="16" t="s">
        <v>6</v>
      </c>
      <c r="C13" s="9" t="s">
        <v>8</v>
      </c>
      <c r="D13" s="9"/>
      <c r="E13" s="9"/>
      <c r="F13" s="9"/>
      <c r="G13" s="9"/>
      <c r="H13" s="9"/>
    </row>
    <row r="14" spans="1:9" ht="15.75" customHeight="1" x14ac:dyDescent="0.35">
      <c r="B14" s="16" t="s">
        <v>6</v>
      </c>
      <c r="C14" s="9" t="s">
        <v>9</v>
      </c>
      <c r="D14" s="9"/>
      <c r="E14" s="9"/>
      <c r="F14" s="9"/>
      <c r="G14" s="9"/>
      <c r="H14" s="9"/>
    </row>
    <row r="15" spans="1:9" ht="15.75" customHeight="1" x14ac:dyDescent="0.35">
      <c r="B15" s="16" t="s">
        <v>6</v>
      </c>
      <c r="C15" s="9" t="s">
        <v>10</v>
      </c>
      <c r="D15" s="9"/>
      <c r="E15" s="9"/>
      <c r="F15" s="9"/>
      <c r="G15" s="9"/>
      <c r="H15" s="9"/>
    </row>
    <row r="16" spans="1:9" ht="15.75" customHeight="1" x14ac:dyDescent="0.35">
      <c r="B16" s="16" t="s">
        <v>6</v>
      </c>
      <c r="C16" s="9" t="s">
        <v>11</v>
      </c>
      <c r="D16" s="9"/>
      <c r="E16" s="9"/>
      <c r="F16" s="9"/>
      <c r="G16" s="9"/>
      <c r="H16" s="9"/>
    </row>
    <row r="17" spans="2:8" ht="15.75" customHeight="1" x14ac:dyDescent="0.35">
      <c r="B17" s="10" t="s">
        <v>12</v>
      </c>
      <c r="C17" s="10"/>
      <c r="D17" s="10"/>
      <c r="E17" s="10"/>
      <c r="F17" s="10"/>
      <c r="G17" s="10"/>
      <c r="H17" s="10"/>
    </row>
    <row r="19" spans="2:8" ht="21.75" customHeight="1" x14ac:dyDescent="0.35">
      <c r="B19" s="11" t="s">
        <v>13</v>
      </c>
      <c r="C19" s="11"/>
      <c r="D19" s="11"/>
      <c r="E19" s="11"/>
      <c r="F19" s="11"/>
      <c r="G19" s="11"/>
      <c r="H19" s="11"/>
    </row>
    <row r="20" spans="2:8" ht="6" customHeight="1" x14ac:dyDescent="0.35"/>
    <row r="21" spans="2:8" ht="16.5" customHeight="1" x14ac:dyDescent="0.35">
      <c r="B21" s="17" t="s">
        <v>14</v>
      </c>
      <c r="C21" s="9" t="s">
        <v>15</v>
      </c>
      <c r="D21" s="9"/>
      <c r="E21" s="9"/>
      <c r="F21" s="9"/>
      <c r="G21" s="9"/>
      <c r="H21" s="18" t="s">
        <v>16</v>
      </c>
    </row>
    <row r="22" spans="2:8" ht="16.5" customHeight="1" x14ac:dyDescent="0.35">
      <c r="B22" s="17" t="s">
        <v>17</v>
      </c>
      <c r="C22" s="9" t="s">
        <v>18</v>
      </c>
      <c r="D22" s="9"/>
      <c r="E22" s="9"/>
      <c r="F22" s="9"/>
      <c r="G22" s="9"/>
      <c r="H22" s="18" t="s">
        <v>19</v>
      </c>
    </row>
    <row r="23" spans="2:8" ht="16.5" customHeight="1" x14ac:dyDescent="0.35">
      <c r="B23" s="17" t="s">
        <v>20</v>
      </c>
      <c r="C23" s="9" t="s">
        <v>21</v>
      </c>
      <c r="D23" s="9"/>
      <c r="E23" s="9"/>
      <c r="F23" s="9"/>
      <c r="G23" s="9"/>
      <c r="H23" s="18" t="s">
        <v>22</v>
      </c>
    </row>
    <row r="24" spans="2:8" ht="16.5" customHeight="1" x14ac:dyDescent="0.35">
      <c r="B24" s="17" t="s">
        <v>23</v>
      </c>
      <c r="C24" s="9" t="s">
        <v>24</v>
      </c>
      <c r="D24" s="9"/>
      <c r="E24" s="9"/>
      <c r="F24" s="9"/>
      <c r="G24" s="9"/>
      <c r="H24" s="18" t="s">
        <v>25</v>
      </c>
    </row>
    <row r="25" spans="2:8" ht="16.5" customHeight="1" x14ac:dyDescent="0.35">
      <c r="B25" s="17" t="s">
        <v>26</v>
      </c>
      <c r="C25" s="9" t="s">
        <v>27</v>
      </c>
      <c r="D25" s="9"/>
      <c r="E25" s="9"/>
      <c r="F25" s="9"/>
      <c r="G25" s="9"/>
      <c r="H25" s="18" t="s">
        <v>25</v>
      </c>
    </row>
    <row r="26" spans="2:8" ht="16.5" customHeight="1" x14ac:dyDescent="0.35">
      <c r="B26" s="17" t="s">
        <v>28</v>
      </c>
      <c r="C26" s="9" t="s">
        <v>29</v>
      </c>
      <c r="D26" s="9"/>
      <c r="E26" s="9"/>
      <c r="F26" s="9"/>
      <c r="G26" s="9"/>
      <c r="H26" s="18" t="s">
        <v>30</v>
      </c>
    </row>
    <row r="28" spans="2:8" ht="21.75" customHeight="1" x14ac:dyDescent="0.35">
      <c r="B28" s="11" t="s">
        <v>31</v>
      </c>
      <c r="C28" s="11"/>
      <c r="D28" s="11"/>
      <c r="E28" s="11"/>
      <c r="F28" s="11"/>
      <c r="G28" s="11"/>
      <c r="H28" s="11"/>
    </row>
    <row r="29" spans="2:8" ht="6" customHeight="1" x14ac:dyDescent="0.35"/>
    <row r="30" spans="2:8" ht="30" customHeight="1" x14ac:dyDescent="0.35">
      <c r="B30" s="10" t="s">
        <v>32</v>
      </c>
      <c r="C30" s="10"/>
      <c r="D30" s="10"/>
      <c r="E30" s="10"/>
      <c r="F30" s="10"/>
      <c r="G30" s="10"/>
      <c r="H30" s="10"/>
    </row>
    <row r="31" spans="2:8" ht="15.75" customHeight="1" x14ac:dyDescent="0.35">
      <c r="B31" s="16" t="s">
        <v>6</v>
      </c>
      <c r="C31" s="9" t="s">
        <v>33</v>
      </c>
      <c r="D31" s="9"/>
      <c r="E31" s="9"/>
      <c r="F31" s="9"/>
      <c r="G31" s="9"/>
      <c r="H31" s="9"/>
    </row>
    <row r="32" spans="2:8" ht="15.75" customHeight="1" x14ac:dyDescent="0.35">
      <c r="B32" s="16" t="s">
        <v>6</v>
      </c>
      <c r="C32" s="9" t="s">
        <v>34</v>
      </c>
      <c r="D32" s="9"/>
      <c r="E32" s="9"/>
      <c r="F32" s="9"/>
      <c r="G32" s="9"/>
      <c r="H32" s="9"/>
    </row>
    <row r="33" spans="2:8" ht="15.75" customHeight="1" x14ac:dyDescent="0.35">
      <c r="B33" s="16" t="s">
        <v>6</v>
      </c>
      <c r="C33" s="9" t="s">
        <v>35</v>
      </c>
      <c r="D33" s="9"/>
      <c r="E33" s="9"/>
      <c r="F33" s="9"/>
      <c r="G33" s="9"/>
      <c r="H33" s="9"/>
    </row>
    <row r="34" spans="2:8" ht="15.75" customHeight="1" x14ac:dyDescent="0.35">
      <c r="B34" s="16" t="s">
        <v>6</v>
      </c>
      <c r="C34" s="9" t="s">
        <v>36</v>
      </c>
      <c r="D34" s="9"/>
      <c r="E34" s="9"/>
      <c r="F34" s="9"/>
      <c r="G34" s="9"/>
      <c r="H34" s="9"/>
    </row>
    <row r="35" spans="2:8" ht="15.75" customHeight="1" x14ac:dyDescent="0.35">
      <c r="B35" s="16" t="s">
        <v>6</v>
      </c>
      <c r="C35" s="9" t="s">
        <v>37</v>
      </c>
      <c r="D35" s="9"/>
      <c r="E35" s="9"/>
      <c r="F35" s="9"/>
      <c r="G35" s="9"/>
      <c r="H35" s="9"/>
    </row>
    <row r="36" spans="2:8" ht="15.75" customHeight="1" x14ac:dyDescent="0.35">
      <c r="B36" s="16" t="s">
        <v>6</v>
      </c>
      <c r="C36" s="9" t="s">
        <v>38</v>
      </c>
      <c r="D36" s="9"/>
      <c r="E36" s="9"/>
      <c r="F36" s="9"/>
      <c r="G36" s="9"/>
      <c r="H36" s="9"/>
    </row>
    <row r="37" spans="2:8" ht="15.75" customHeight="1" x14ac:dyDescent="0.35">
      <c r="B37" s="16" t="s">
        <v>6</v>
      </c>
      <c r="C37" s="9" t="s">
        <v>39</v>
      </c>
      <c r="D37" s="9"/>
      <c r="E37" s="9"/>
      <c r="F37" s="9"/>
      <c r="G37" s="9"/>
      <c r="H37" s="9"/>
    </row>
    <row r="38" spans="2:8" ht="15.75" customHeight="1" x14ac:dyDescent="0.35">
      <c r="B38" s="16" t="s">
        <v>6</v>
      </c>
      <c r="C38" s="9" t="s">
        <v>40</v>
      </c>
      <c r="D38" s="9"/>
      <c r="E38" s="9"/>
      <c r="F38" s="9"/>
      <c r="G38" s="9"/>
      <c r="H38" s="9"/>
    </row>
    <row r="39" spans="2:8" ht="30" customHeight="1" x14ac:dyDescent="0.35">
      <c r="B39" s="8" t="s">
        <v>41</v>
      </c>
      <c r="C39" s="8"/>
      <c r="D39" s="8"/>
      <c r="E39" s="8"/>
      <c r="F39" s="8"/>
      <c r="G39" s="8"/>
      <c r="H39" s="8"/>
    </row>
    <row r="41" spans="2:8" ht="15.75" customHeight="1" x14ac:dyDescent="0.35">
      <c r="B41" s="7" t="s">
        <v>42</v>
      </c>
      <c r="C41" s="7"/>
      <c r="D41" s="7"/>
      <c r="E41" s="7"/>
      <c r="F41" s="7"/>
      <c r="G41" s="7"/>
      <c r="H41" s="7"/>
    </row>
    <row r="42" spans="2:8" ht="45.75" customHeight="1" x14ac:dyDescent="0.35">
      <c r="B42" s="6" t="s">
        <v>43</v>
      </c>
      <c r="C42" s="6"/>
      <c r="D42" s="6"/>
      <c r="E42" s="6"/>
      <c r="F42" s="6"/>
      <c r="G42" s="6"/>
      <c r="H42" s="6"/>
    </row>
    <row r="43" spans="2:8" ht="6" customHeight="1" x14ac:dyDescent="0.35">
      <c r="B43" s="19"/>
      <c r="C43" s="20"/>
      <c r="D43" s="20"/>
      <c r="E43" s="20"/>
      <c r="F43" s="20"/>
      <c r="G43" s="20"/>
      <c r="H43" s="21"/>
    </row>
    <row r="45" spans="2:8" ht="21.75" customHeight="1" x14ac:dyDescent="0.35">
      <c r="B45" s="11" t="s">
        <v>44</v>
      </c>
      <c r="C45" s="11"/>
      <c r="D45" s="11"/>
      <c r="E45" s="11"/>
      <c r="F45" s="11"/>
      <c r="G45" s="11"/>
      <c r="H45" s="11"/>
    </row>
    <row r="46" spans="2:8" ht="6" customHeight="1" x14ac:dyDescent="0.35"/>
    <row r="47" spans="2:8" ht="18" customHeight="1" x14ac:dyDescent="0.35">
      <c r="B47" s="5" t="s">
        <v>45</v>
      </c>
      <c r="C47" s="5"/>
      <c r="D47" s="4" t="s">
        <v>46</v>
      </c>
      <c r="E47" s="4"/>
      <c r="F47" s="4"/>
      <c r="G47" s="4"/>
      <c r="H47" s="4"/>
    </row>
    <row r="48" spans="2:8" ht="33.75" customHeight="1" x14ac:dyDescent="0.35">
      <c r="B48" s="3" t="s">
        <v>47</v>
      </c>
      <c r="C48" s="3"/>
      <c r="D48" s="2" t="s">
        <v>48</v>
      </c>
      <c r="E48" s="2"/>
      <c r="F48" s="2"/>
      <c r="G48" s="2"/>
      <c r="H48" s="2"/>
    </row>
    <row r="49" spans="1:9" ht="31.5" customHeight="1" x14ac:dyDescent="0.35">
      <c r="B49" s="1" t="s">
        <v>49</v>
      </c>
      <c r="C49" s="1"/>
      <c r="D49" s="2" t="s">
        <v>50</v>
      </c>
      <c r="E49" s="2"/>
      <c r="F49" s="2"/>
      <c r="G49" s="2"/>
      <c r="H49" s="2"/>
    </row>
    <row r="51" spans="1:9" ht="15" customHeight="1" x14ac:dyDescent="0.35">
      <c r="B51" s="107" t="s">
        <v>51</v>
      </c>
      <c r="C51" s="107"/>
      <c r="D51" s="107"/>
      <c r="E51" s="107"/>
      <c r="F51" s="107"/>
      <c r="G51" s="107"/>
      <c r="H51" s="107"/>
    </row>
    <row r="52" spans="1:9" ht="87.75" customHeight="1" x14ac:dyDescent="0.35">
      <c r="B52" s="108" t="s">
        <v>52</v>
      </c>
      <c r="C52" s="108"/>
      <c r="D52" s="108"/>
      <c r="E52" s="108"/>
      <c r="F52" s="108"/>
      <c r="G52" s="108"/>
      <c r="H52" s="108"/>
    </row>
    <row r="54" spans="1:9" ht="7.5" customHeight="1" x14ac:dyDescent="0.35">
      <c r="A54" s="15"/>
      <c r="B54" s="15"/>
      <c r="C54" s="15"/>
      <c r="D54" s="15"/>
      <c r="E54" s="15"/>
      <c r="F54" s="15"/>
      <c r="G54" s="15"/>
      <c r="H54" s="15"/>
      <c r="I54" s="15"/>
    </row>
    <row r="55" spans="1:9" ht="19.5" customHeight="1" x14ac:dyDescent="0.35">
      <c r="A55" s="15"/>
      <c r="B55" s="109" t="s">
        <v>53</v>
      </c>
      <c r="C55" s="109"/>
      <c r="D55" s="109"/>
      <c r="E55" s="109"/>
      <c r="F55" s="109"/>
      <c r="G55" s="109"/>
      <c r="H55" s="109"/>
      <c r="I55" s="15"/>
    </row>
    <row r="56" spans="1:9" ht="15.75" customHeight="1" x14ac:dyDescent="0.35">
      <c r="A56" s="15"/>
      <c r="B56" s="110" t="s">
        <v>54</v>
      </c>
      <c r="C56" s="110"/>
      <c r="D56" s="110"/>
      <c r="E56" s="110"/>
      <c r="F56" s="110"/>
      <c r="G56" s="110"/>
      <c r="H56" s="110"/>
      <c r="I56" s="15"/>
    </row>
    <row r="57" spans="1:9" ht="15.75" customHeight="1" x14ac:dyDescent="0.35">
      <c r="A57" s="15"/>
      <c r="B57" s="111" t="s">
        <v>55</v>
      </c>
      <c r="C57" s="111"/>
      <c r="D57" s="111"/>
      <c r="E57" s="111"/>
      <c r="F57" s="111"/>
      <c r="G57" s="111"/>
      <c r="H57" s="111"/>
      <c r="I57" s="15"/>
    </row>
    <row r="58" spans="1:9" ht="9.75" customHeight="1" x14ac:dyDescent="0.35">
      <c r="A58" s="15"/>
      <c r="B58" s="15"/>
      <c r="C58" s="15"/>
      <c r="D58" s="15"/>
      <c r="E58" s="15"/>
      <c r="F58" s="15"/>
      <c r="G58" s="15"/>
      <c r="H58" s="15"/>
      <c r="I58" s="15"/>
    </row>
  </sheetData>
  <mergeCells count="44">
    <mergeCell ref="B52:H52"/>
    <mergeCell ref="B55:H55"/>
    <mergeCell ref="B56:H56"/>
    <mergeCell ref="B57:H57"/>
    <mergeCell ref="B48:C48"/>
    <mergeCell ref="D48:H48"/>
    <mergeCell ref="B49:C49"/>
    <mergeCell ref="D49:H49"/>
    <mergeCell ref="B51:H51"/>
    <mergeCell ref="B41:H41"/>
    <mergeCell ref="B42:H42"/>
    <mergeCell ref="B45:H45"/>
    <mergeCell ref="B47:C47"/>
    <mergeCell ref="D47:H47"/>
    <mergeCell ref="C35:H35"/>
    <mergeCell ref="C36:H36"/>
    <mergeCell ref="C37:H37"/>
    <mergeCell ref="C38:H38"/>
    <mergeCell ref="B39:H39"/>
    <mergeCell ref="B30:H30"/>
    <mergeCell ref="C31:H31"/>
    <mergeCell ref="C32:H32"/>
    <mergeCell ref="C33:H33"/>
    <mergeCell ref="C34:H34"/>
    <mergeCell ref="C23:G23"/>
    <mergeCell ref="C24:G24"/>
    <mergeCell ref="C25:G25"/>
    <mergeCell ref="C26:G26"/>
    <mergeCell ref="B28:H28"/>
    <mergeCell ref="C16:H16"/>
    <mergeCell ref="B17:H17"/>
    <mergeCell ref="B19:H19"/>
    <mergeCell ref="C21:G21"/>
    <mergeCell ref="C22:G22"/>
    <mergeCell ref="B11:H11"/>
    <mergeCell ref="C12:H12"/>
    <mergeCell ref="C13:H13"/>
    <mergeCell ref="C14:H14"/>
    <mergeCell ref="C15:H15"/>
    <mergeCell ref="B2:H2"/>
    <mergeCell ref="B3:H3"/>
    <mergeCell ref="B4:H4"/>
    <mergeCell ref="B8:H8"/>
    <mergeCell ref="B10:H10"/>
  </mergeCells>
  <pageMargins left="0.4" right="0.4" top="0.35" bottom="0.3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0"/>
  <sheetViews>
    <sheetView showGridLines="0" zoomScaleNormal="100" workbookViewId="0">
      <pane ySplit="4" topLeftCell="A5" activePane="bottomLeft" state="frozen"/>
      <selection pane="bottomLeft" activeCell="L14" sqref="L14"/>
    </sheetView>
  </sheetViews>
  <sheetFormatPr defaultColWidth="8.6328125" defaultRowHeight="14.5" x14ac:dyDescent="0.35"/>
  <cols>
    <col min="1" max="1" width="3" customWidth="1"/>
    <col min="2" max="2" width="46" customWidth="1"/>
    <col min="3" max="4" width="17" customWidth="1"/>
    <col min="5" max="5" width="3" customWidth="1"/>
    <col min="6" max="6" width="60" customWidth="1"/>
    <col min="7" max="7" width="3" customWidth="1"/>
  </cols>
  <sheetData>
    <row r="1" spans="1:7" ht="7.5" customHeight="1" x14ac:dyDescent="0.35">
      <c r="A1" s="15"/>
      <c r="B1" s="15"/>
      <c r="C1" s="15"/>
      <c r="D1" s="15"/>
      <c r="E1" s="15"/>
      <c r="F1" s="15"/>
      <c r="G1" s="15"/>
    </row>
    <row r="2" spans="1:7" ht="27.75" customHeight="1" x14ac:dyDescent="0.35">
      <c r="A2" s="15"/>
      <c r="B2" s="112" t="s">
        <v>56</v>
      </c>
      <c r="C2" s="112"/>
      <c r="D2" s="112"/>
      <c r="E2" s="112"/>
      <c r="F2" s="112"/>
      <c r="G2" s="15"/>
    </row>
    <row r="3" spans="1:7" ht="18" customHeight="1" x14ac:dyDescent="0.35">
      <c r="A3" s="15"/>
      <c r="B3" s="113" t="s">
        <v>57</v>
      </c>
      <c r="C3" s="113"/>
      <c r="D3" s="113"/>
      <c r="E3" s="113"/>
      <c r="F3" s="113"/>
      <c r="G3" s="15"/>
    </row>
    <row r="4" spans="1:7" ht="7.5" customHeight="1" x14ac:dyDescent="0.35">
      <c r="A4" s="15"/>
      <c r="B4" s="15"/>
      <c r="C4" s="15"/>
      <c r="D4" s="15"/>
      <c r="E4" s="15"/>
      <c r="F4" s="15"/>
      <c r="G4" s="15"/>
    </row>
    <row r="5" spans="1:7" ht="9.75" customHeight="1" x14ac:dyDescent="0.35"/>
    <row r="6" spans="1:7" ht="19.5" customHeight="1" x14ac:dyDescent="0.35">
      <c r="B6" s="114" t="s">
        <v>58</v>
      </c>
      <c r="C6" s="114"/>
      <c r="D6" s="114"/>
      <c r="E6" s="114"/>
      <c r="F6" s="114"/>
    </row>
    <row r="7" spans="1:7" ht="18" customHeight="1" x14ac:dyDescent="0.35">
      <c r="B7" s="22" t="s">
        <v>59</v>
      </c>
      <c r="C7" s="23" t="s">
        <v>60</v>
      </c>
      <c r="D7" s="23" t="s">
        <v>61</v>
      </c>
      <c r="F7" s="22" t="s">
        <v>62</v>
      </c>
    </row>
    <row r="8" spans="1:7" ht="24" customHeight="1" x14ac:dyDescent="0.35">
      <c r="B8" s="24" t="s">
        <v>63</v>
      </c>
      <c r="C8" s="25" t="s">
        <v>64</v>
      </c>
      <c r="D8" s="25" t="s">
        <v>65</v>
      </c>
      <c r="F8" s="26" t="s">
        <v>66</v>
      </c>
    </row>
    <row r="9" spans="1:7" ht="25.5" customHeight="1" x14ac:dyDescent="0.35">
      <c r="B9" s="24" t="s">
        <v>67</v>
      </c>
      <c r="C9" s="27">
        <v>12</v>
      </c>
      <c r="D9" s="27">
        <v>12</v>
      </c>
      <c r="F9" s="26" t="s">
        <v>68</v>
      </c>
    </row>
    <row r="10" spans="1:7" ht="21" customHeight="1" x14ac:dyDescent="0.35">
      <c r="B10" s="28" t="s">
        <v>69</v>
      </c>
      <c r="C10" s="29">
        <f>ROUND(C9*30.4375,0)</f>
        <v>365</v>
      </c>
      <c r="D10" s="29">
        <f>ROUND(D9*30.4375,0)</f>
        <v>365</v>
      </c>
      <c r="F10" s="26" t="s">
        <v>70</v>
      </c>
    </row>
    <row r="11" spans="1:7" ht="18" customHeight="1" x14ac:dyDescent="0.35">
      <c r="B11" s="115" t="str">
        <f>IFERROR(IF(C9&lt;&gt;D9,"The two periods cover different numbers of months. Comparisons on the other tabs will not be like-for-like until both periods cover the same length of time.","Both periods cover the same number of months, so the comparisons are like-for-like."),"")</f>
        <v>Both periods cover the same number of months, so the comparisons are like-for-like.</v>
      </c>
      <c r="C11" s="115"/>
      <c r="D11" s="115"/>
      <c r="E11" s="115"/>
      <c r="F11" s="115"/>
    </row>
    <row r="12" spans="1:7" ht="12" customHeight="1" x14ac:dyDescent="0.35"/>
    <row r="13" spans="1:7" ht="19.5" customHeight="1" x14ac:dyDescent="0.35">
      <c r="B13" s="114" t="s">
        <v>71</v>
      </c>
      <c r="C13" s="114"/>
      <c r="D13" s="114"/>
      <c r="E13" s="114"/>
      <c r="F13" s="114"/>
    </row>
    <row r="14" spans="1:7" ht="18" customHeight="1" x14ac:dyDescent="0.35">
      <c r="B14" s="22" t="s">
        <v>59</v>
      </c>
      <c r="C14" s="23" t="s">
        <v>60</v>
      </c>
      <c r="D14" s="23" t="s">
        <v>61</v>
      </c>
      <c r="F14" s="22" t="s">
        <v>62</v>
      </c>
    </row>
    <row r="15" spans="1:7" ht="21.75" customHeight="1" x14ac:dyDescent="0.35">
      <c r="B15" s="24" t="s">
        <v>72</v>
      </c>
      <c r="C15" s="30">
        <v>1840000</v>
      </c>
      <c r="D15" s="30">
        <v>1620000</v>
      </c>
      <c r="F15" s="26" t="s">
        <v>73</v>
      </c>
    </row>
    <row r="16" spans="1:7" ht="30" customHeight="1" x14ac:dyDescent="0.35">
      <c r="B16" s="24" t="s">
        <v>74</v>
      </c>
      <c r="C16" s="30">
        <v>883200</v>
      </c>
      <c r="D16" s="30">
        <v>749250</v>
      </c>
      <c r="F16" s="26" t="s">
        <v>75</v>
      </c>
    </row>
    <row r="17" spans="2:6" ht="21" customHeight="1" x14ac:dyDescent="0.35">
      <c r="B17" s="31" t="s">
        <v>76</v>
      </c>
      <c r="C17" s="32">
        <f>C15-C16</f>
        <v>956800</v>
      </c>
      <c r="D17" s="32">
        <f>D15-D16</f>
        <v>870750</v>
      </c>
      <c r="F17" s="26" t="s">
        <v>77</v>
      </c>
    </row>
    <row r="18" spans="2:6" ht="25.5" customHeight="1" x14ac:dyDescent="0.35">
      <c r="B18" s="24" t="s">
        <v>78</v>
      </c>
      <c r="C18" s="30">
        <v>838000</v>
      </c>
      <c r="D18" s="30">
        <v>745000</v>
      </c>
      <c r="F18" s="26" t="s">
        <v>79</v>
      </c>
    </row>
    <row r="19" spans="2:6" ht="21" customHeight="1" x14ac:dyDescent="0.35">
      <c r="B19" s="31" t="s">
        <v>80</v>
      </c>
      <c r="C19" s="32">
        <f>C17-C18</f>
        <v>118800</v>
      </c>
      <c r="D19" s="32">
        <f>D17-D18</f>
        <v>125750</v>
      </c>
      <c r="F19" s="26" t="s">
        <v>81</v>
      </c>
    </row>
    <row r="20" spans="2:6" ht="21.75" customHeight="1" x14ac:dyDescent="0.35">
      <c r="B20" s="24" t="s">
        <v>82</v>
      </c>
      <c r="C20" s="30">
        <v>18400</v>
      </c>
      <c r="D20" s="30">
        <v>14600</v>
      </c>
      <c r="F20" s="26" t="s">
        <v>83</v>
      </c>
    </row>
    <row r="21" spans="2:6" ht="30" customHeight="1" x14ac:dyDescent="0.35">
      <c r="B21" s="24" t="s">
        <v>84</v>
      </c>
      <c r="C21" s="30">
        <v>82000</v>
      </c>
      <c r="D21" s="30">
        <v>88500</v>
      </c>
      <c r="F21" s="26" t="s">
        <v>85</v>
      </c>
    </row>
    <row r="22" spans="2:6" ht="12" customHeight="1" x14ac:dyDescent="0.35"/>
    <row r="23" spans="2:6" ht="19.5" customHeight="1" x14ac:dyDescent="0.35">
      <c r="B23" s="114" t="s">
        <v>86</v>
      </c>
      <c r="C23" s="114"/>
      <c r="D23" s="114"/>
      <c r="E23" s="114"/>
      <c r="F23" s="114"/>
    </row>
    <row r="24" spans="2:6" ht="18" customHeight="1" x14ac:dyDescent="0.35">
      <c r="B24" s="22" t="s">
        <v>59</v>
      </c>
      <c r="C24" s="23" t="s">
        <v>60</v>
      </c>
      <c r="D24" s="23" t="s">
        <v>61</v>
      </c>
      <c r="F24" s="22" t="s">
        <v>62</v>
      </c>
    </row>
    <row r="25" spans="2:6" ht="21.75" customHeight="1" x14ac:dyDescent="0.35">
      <c r="B25" s="24" t="s">
        <v>87</v>
      </c>
      <c r="C25" s="30">
        <v>163000</v>
      </c>
      <c r="D25" s="30">
        <v>132000</v>
      </c>
      <c r="F25" s="26" t="s">
        <v>88</v>
      </c>
    </row>
    <row r="26" spans="2:6" ht="21.75" customHeight="1" x14ac:dyDescent="0.35">
      <c r="B26" s="24" t="s">
        <v>89</v>
      </c>
      <c r="C26" s="30">
        <v>322000</v>
      </c>
      <c r="D26" s="30">
        <v>248000</v>
      </c>
      <c r="F26" s="26" t="s">
        <v>90</v>
      </c>
    </row>
    <row r="27" spans="2:6" ht="21.75" customHeight="1" x14ac:dyDescent="0.35">
      <c r="B27" s="24" t="s">
        <v>91</v>
      </c>
      <c r="C27" s="30">
        <v>0</v>
      </c>
      <c r="D27" s="30">
        <v>0</v>
      </c>
      <c r="F27" s="26" t="s">
        <v>92</v>
      </c>
    </row>
    <row r="28" spans="2:6" ht="21.75" customHeight="1" x14ac:dyDescent="0.35">
      <c r="B28" s="24" t="s">
        <v>93</v>
      </c>
      <c r="C28" s="30">
        <v>26000</v>
      </c>
      <c r="D28" s="30">
        <v>22000</v>
      </c>
      <c r="F28" s="26" t="s">
        <v>94</v>
      </c>
    </row>
    <row r="29" spans="2:6" ht="21" customHeight="1" x14ac:dyDescent="0.35">
      <c r="B29" s="31" t="s">
        <v>95</v>
      </c>
      <c r="C29" s="32">
        <f>SUM(C25:C28)</f>
        <v>511000</v>
      </c>
      <c r="D29" s="32">
        <f>SUM(D25:D28)</f>
        <v>402000</v>
      </c>
      <c r="F29" s="26" t="s">
        <v>96</v>
      </c>
    </row>
    <row r="30" spans="2:6" ht="25.5" customHeight="1" x14ac:dyDescent="0.35">
      <c r="B30" s="24" t="s">
        <v>97</v>
      </c>
      <c r="C30" s="30">
        <v>138000</v>
      </c>
      <c r="D30" s="30">
        <v>121000</v>
      </c>
      <c r="F30" s="26" t="s">
        <v>98</v>
      </c>
    </row>
    <row r="31" spans="2:6" ht="25.5" customHeight="1" x14ac:dyDescent="0.35">
      <c r="B31" s="24" t="s">
        <v>99</v>
      </c>
      <c r="C31" s="30">
        <v>64000</v>
      </c>
      <c r="D31" s="30">
        <v>58000</v>
      </c>
      <c r="F31" s="26" t="s">
        <v>100</v>
      </c>
    </row>
    <row r="32" spans="2:6" ht="21.75" customHeight="1" x14ac:dyDescent="0.35">
      <c r="B32" s="24" t="s">
        <v>101</v>
      </c>
      <c r="C32" s="30">
        <v>52000</v>
      </c>
      <c r="D32" s="30">
        <v>44000</v>
      </c>
      <c r="F32" s="26" t="s">
        <v>102</v>
      </c>
    </row>
    <row r="33" spans="2:6" ht="21" customHeight="1" x14ac:dyDescent="0.35">
      <c r="B33" s="31" t="s">
        <v>103</v>
      </c>
      <c r="C33" s="32">
        <f>SUM(C30:C32)</f>
        <v>254000</v>
      </c>
      <c r="D33" s="32">
        <f>SUM(D30:D32)</f>
        <v>223000</v>
      </c>
      <c r="F33" s="26" t="s">
        <v>104</v>
      </c>
    </row>
    <row r="34" spans="2:6" ht="21.75" customHeight="1" x14ac:dyDescent="0.35">
      <c r="B34" s="24" t="s">
        <v>105</v>
      </c>
      <c r="C34" s="30">
        <v>268000</v>
      </c>
      <c r="D34" s="30">
        <v>204000</v>
      </c>
      <c r="F34" s="26" t="s">
        <v>106</v>
      </c>
    </row>
    <row r="35" spans="2:6" ht="21" customHeight="1" x14ac:dyDescent="0.35">
      <c r="B35" s="31" t="s">
        <v>107</v>
      </c>
      <c r="C35" s="32">
        <f>C32+C34</f>
        <v>320000</v>
      </c>
      <c r="D35" s="32">
        <f>D32+D34</f>
        <v>248000</v>
      </c>
      <c r="F35" s="26" t="s">
        <v>108</v>
      </c>
    </row>
    <row r="36" spans="2:6" ht="21.75" customHeight="1" x14ac:dyDescent="0.35">
      <c r="B36" s="24" t="s">
        <v>109</v>
      </c>
      <c r="C36" s="30">
        <v>735000</v>
      </c>
      <c r="D36" s="30">
        <v>618000</v>
      </c>
      <c r="F36" s="26" t="s">
        <v>110</v>
      </c>
    </row>
    <row r="37" spans="2:6" ht="21.75" customHeight="1" x14ac:dyDescent="0.35">
      <c r="B37" s="24" t="s">
        <v>111</v>
      </c>
      <c r="C37" s="30">
        <v>522000</v>
      </c>
      <c r="D37" s="30">
        <v>427000</v>
      </c>
      <c r="F37" s="26" t="s">
        <v>110</v>
      </c>
    </row>
    <row r="38" spans="2:6" ht="21.75" customHeight="1" x14ac:dyDescent="0.35">
      <c r="B38" s="24" t="s">
        <v>112</v>
      </c>
      <c r="C38" s="30">
        <v>213000</v>
      </c>
      <c r="D38" s="30">
        <v>191000</v>
      </c>
      <c r="F38" s="26" t="s">
        <v>110</v>
      </c>
    </row>
    <row r="39" spans="2:6" ht="21" customHeight="1" x14ac:dyDescent="0.35">
      <c r="B39" s="28" t="s">
        <v>113</v>
      </c>
      <c r="C39" s="33">
        <f>C36-C37</f>
        <v>213000</v>
      </c>
      <c r="D39" s="33">
        <f>D36-D37</f>
        <v>191000</v>
      </c>
      <c r="F39" s="26" t="s">
        <v>114</v>
      </c>
    </row>
    <row r="40" spans="2:6" ht="30" customHeight="1" x14ac:dyDescent="0.35">
      <c r="B40" s="31" t="s">
        <v>115</v>
      </c>
      <c r="C40" s="34">
        <f>IF(COUNT(C36:C38)&lt;3,"",C39-C38)</f>
        <v>0</v>
      </c>
      <c r="D40" s="34">
        <f>IF(COUNT(D36:D38)&lt;3,"",D39-D38)</f>
        <v>0</v>
      </c>
      <c r="F40" s="26" t="s">
        <v>116</v>
      </c>
    </row>
    <row r="41" spans="2:6" ht="39" customHeight="1" x14ac:dyDescent="0.35">
      <c r="B41" s="31" t="s">
        <v>117</v>
      </c>
      <c r="C41" s="153" t="str">
        <f>IFERROR(IF(COUNT(C36:C38)&lt;3,"Not entered",IF(ABS(C39-C38)&lt;=MAX($C$56,0),"Reconciles","Difference Identified — Review Inputs")),"Difference Identified — Review Inputs")</f>
        <v>Reconciles</v>
      </c>
      <c r="D41" s="153" t="str">
        <f>IFERROR(IF(COUNT(D36:D38)&lt;3,"Not entered",IF(ABS(D39-D38)&lt;=MAX($C$56,0),"Reconciles","Difference Identified — Review Inputs")),"Difference Identified — Review Inputs")</f>
        <v>Reconciles</v>
      </c>
      <c r="F41" s="26" t="s">
        <v>118</v>
      </c>
    </row>
    <row r="42" spans="2:6" ht="19.5" customHeight="1" x14ac:dyDescent="0.35">
      <c r="B42" s="114" t="s">
        <v>119</v>
      </c>
      <c r="C42" s="114"/>
      <c r="D42" s="114"/>
      <c r="E42" s="114"/>
      <c r="F42" s="114"/>
    </row>
    <row r="43" spans="2:6" ht="18" customHeight="1" x14ac:dyDescent="0.35">
      <c r="B43" s="22" t="s">
        <v>59</v>
      </c>
      <c r="C43" s="23" t="s">
        <v>60</v>
      </c>
      <c r="D43" s="23" t="s">
        <v>61</v>
      </c>
      <c r="F43" s="22" t="s">
        <v>62</v>
      </c>
    </row>
    <row r="44" spans="2:6" ht="25.5" customHeight="1" x14ac:dyDescent="0.35">
      <c r="B44" s="24" t="s">
        <v>120</v>
      </c>
      <c r="C44" s="30">
        <v>61000</v>
      </c>
      <c r="D44" s="30">
        <v>104000</v>
      </c>
      <c r="F44" s="26" t="s">
        <v>121</v>
      </c>
    </row>
    <row r="45" spans="2:6" ht="21.75" customHeight="1" x14ac:dyDescent="0.35">
      <c r="B45" s="24" t="s">
        <v>122</v>
      </c>
      <c r="C45" s="30">
        <v>42000</v>
      </c>
      <c r="D45" s="30">
        <v>26000</v>
      </c>
      <c r="F45" s="26" t="s">
        <v>123</v>
      </c>
    </row>
    <row r="46" spans="2:6" ht="21.75" customHeight="1" x14ac:dyDescent="0.35">
      <c r="B46" s="24" t="s">
        <v>124</v>
      </c>
      <c r="C46" s="30">
        <v>60000</v>
      </c>
      <c r="D46" s="30">
        <v>55000</v>
      </c>
      <c r="F46" s="26" t="s">
        <v>125</v>
      </c>
    </row>
    <row r="47" spans="2:6" ht="21.75" customHeight="1" x14ac:dyDescent="0.35">
      <c r="B47" s="24" t="s">
        <v>126</v>
      </c>
      <c r="C47" s="30">
        <v>120000</v>
      </c>
      <c r="D47" s="30">
        <v>0</v>
      </c>
      <c r="F47" s="26" t="s">
        <v>127</v>
      </c>
    </row>
    <row r="48" spans="2:6" ht="25.5" customHeight="1" x14ac:dyDescent="0.35">
      <c r="B48" s="24" t="s">
        <v>128</v>
      </c>
      <c r="C48" s="30">
        <v>48000</v>
      </c>
      <c r="D48" s="30">
        <v>42000</v>
      </c>
      <c r="F48" s="26" t="s">
        <v>129</v>
      </c>
    </row>
    <row r="49" spans="2:6" ht="18" customHeight="1" x14ac:dyDescent="0.35">
      <c r="B49" s="116" t="s">
        <v>130</v>
      </c>
      <c r="C49" s="116"/>
      <c r="D49" s="116"/>
      <c r="E49" s="116"/>
      <c r="F49" s="116"/>
    </row>
    <row r="50" spans="2:6" ht="12" customHeight="1" x14ac:dyDescent="0.35"/>
    <row r="51" spans="2:6" ht="19.5" customHeight="1" x14ac:dyDescent="0.35">
      <c r="B51" s="114" t="s">
        <v>131</v>
      </c>
      <c r="C51" s="114"/>
      <c r="D51" s="114"/>
      <c r="E51" s="114"/>
      <c r="F51" s="114"/>
    </row>
    <row r="52" spans="2:6" ht="18" customHeight="1" x14ac:dyDescent="0.35">
      <c r="B52" s="22" t="s">
        <v>59</v>
      </c>
      <c r="C52" s="23" t="s">
        <v>60</v>
      </c>
      <c r="D52" s="23" t="s">
        <v>61</v>
      </c>
      <c r="F52" s="22" t="s">
        <v>62</v>
      </c>
    </row>
    <row r="53" spans="2:6" ht="31.5" customHeight="1" x14ac:dyDescent="0.35">
      <c r="B53" s="24" t="s">
        <v>132</v>
      </c>
      <c r="C53" s="30">
        <v>70000</v>
      </c>
      <c r="D53" s="30">
        <v>62000</v>
      </c>
      <c r="F53" s="26" t="s">
        <v>133</v>
      </c>
    </row>
    <row r="54" spans="2:6" ht="31.5" customHeight="1" x14ac:dyDescent="0.35">
      <c r="B54" s="24" t="s">
        <v>134</v>
      </c>
      <c r="C54" s="30">
        <v>120000</v>
      </c>
      <c r="D54" s="30">
        <v>120000</v>
      </c>
      <c r="F54" s="26" t="s">
        <v>135</v>
      </c>
    </row>
    <row r="55" spans="2:6" ht="21" customHeight="1" x14ac:dyDescent="0.35">
      <c r="B55" s="28" t="s">
        <v>136</v>
      </c>
      <c r="C55" s="33">
        <f>IFERROR(IF(C9=0,0,C15/C9),0)</f>
        <v>153333.33333333334</v>
      </c>
      <c r="D55" s="33">
        <f>IFERROR(IF(D9=0,0,D15/D9),0)</f>
        <v>135000</v>
      </c>
      <c r="F55" s="26" t="s">
        <v>137</v>
      </c>
    </row>
    <row r="56" spans="2:6" ht="45" customHeight="1" x14ac:dyDescent="0.35">
      <c r="B56" s="24" t="s">
        <v>138</v>
      </c>
      <c r="C56" s="35">
        <v>1</v>
      </c>
      <c r="D56" s="36"/>
      <c r="F56" s="26" t="s">
        <v>139</v>
      </c>
    </row>
    <row r="57" spans="2:6" ht="19.5" customHeight="1" x14ac:dyDescent="0.35">
      <c r="B57" s="117" t="s">
        <v>140</v>
      </c>
      <c r="C57" s="117"/>
      <c r="D57" s="117"/>
      <c r="E57" s="117"/>
      <c r="F57" s="117"/>
    </row>
    <row r="58" spans="2:6" ht="19.5" customHeight="1" x14ac:dyDescent="0.35">
      <c r="B58" s="117"/>
      <c r="C58" s="117"/>
      <c r="D58" s="117"/>
      <c r="E58" s="117"/>
      <c r="F58" s="117"/>
    </row>
    <row r="60" spans="2:6" ht="18" customHeight="1" x14ac:dyDescent="0.35">
      <c r="B60" s="118" t="s">
        <v>141</v>
      </c>
      <c r="C60" s="118"/>
      <c r="D60" s="118"/>
      <c r="E60" s="118"/>
      <c r="F60" s="118"/>
    </row>
  </sheetData>
  <sheetProtection sheet="1" formatCells="0" sort="0" autoFilter="0"/>
  <mergeCells count="11">
    <mergeCell ref="B60:F60"/>
    <mergeCell ref="B23:F23"/>
    <mergeCell ref="B42:F42"/>
    <mergeCell ref="B49:F49"/>
    <mergeCell ref="B51:F51"/>
    <mergeCell ref="B57:F58"/>
    <mergeCell ref="B2:F2"/>
    <mergeCell ref="B3:F3"/>
    <mergeCell ref="B6:F6"/>
    <mergeCell ref="B11:F11"/>
    <mergeCell ref="B13:F13"/>
  </mergeCells>
  <dataValidations count="2">
    <dataValidation type="decimal" showErrorMessage="1" errorTitle="Amount" error="Enter a dollar amount." sqref="C15:D16 C18:D18 C20:D21 C25:D28 C30:D32 C34:D34 C36:D38 C44:D48 C53:D54" xr:uid="{00000000-0002-0000-0100-000000000000}">
      <formula1>-1000000000</formula1>
      <formula2>1000000000</formula2>
    </dataValidation>
    <dataValidation type="whole" showErrorMessage="1" errorTitle="Months in Period" error="Enter a whole number of months between 1 and 36." sqref="C9:D9" xr:uid="{00000000-0002-0000-0100-000001000000}">
      <formula1>1</formula1>
      <formula2>36</formula2>
    </dataValidation>
  </dataValidations>
  <pageMargins left="0.75" right="0.75" top="1" bottom="1" header="0.511811023622047" footer="0.511811023622047"/>
  <pageSetup fitToHeight="0"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3"/>
  <sheetViews>
    <sheetView showGridLines="0" zoomScaleNormal="100" workbookViewId="0">
      <pane ySplit="4" topLeftCell="A5" activePane="bottomLeft" state="frozen"/>
      <selection pane="bottomLeft" activeCell="K13" sqref="K13"/>
    </sheetView>
  </sheetViews>
  <sheetFormatPr defaultColWidth="8.6328125" defaultRowHeight="14.5" x14ac:dyDescent="0.35"/>
  <cols>
    <col min="1" max="1" width="3" customWidth="1"/>
    <col min="2" max="2" width="5" customWidth="1"/>
    <col min="3" max="3" width="84" customWidth="1"/>
    <col min="4" max="4" width="16" customWidth="1"/>
    <col min="5" max="5" width="12" customWidth="1"/>
    <col min="6" max="6" width="3" customWidth="1"/>
  </cols>
  <sheetData>
    <row r="1" spans="1:6" ht="7.5" customHeight="1" x14ac:dyDescent="0.35">
      <c r="A1" s="15"/>
      <c r="B1" s="15"/>
      <c r="C1" s="15"/>
      <c r="D1" s="15"/>
      <c r="E1" s="15"/>
      <c r="F1" s="15"/>
    </row>
    <row r="2" spans="1:6" ht="27.75" customHeight="1" x14ac:dyDescent="0.35">
      <c r="A2" s="15"/>
      <c r="B2" s="119" t="s">
        <v>142</v>
      </c>
      <c r="C2" s="119"/>
      <c r="D2" s="119"/>
      <c r="E2" s="119"/>
      <c r="F2" s="15"/>
    </row>
    <row r="3" spans="1:6" ht="18" customHeight="1" x14ac:dyDescent="0.35">
      <c r="A3" s="15"/>
      <c r="B3" s="120" t="s">
        <v>143</v>
      </c>
      <c r="C3" s="120"/>
      <c r="D3" s="120"/>
      <c r="E3" s="120"/>
      <c r="F3" s="15"/>
    </row>
    <row r="4" spans="1:6" ht="7.5" customHeight="1" x14ac:dyDescent="0.35">
      <c r="A4" s="15"/>
      <c r="B4" s="15"/>
      <c r="C4" s="15"/>
      <c r="D4" s="15"/>
      <c r="E4" s="15"/>
      <c r="F4" s="15"/>
    </row>
    <row r="5" spans="1:6" ht="9.75" customHeight="1" x14ac:dyDescent="0.35"/>
    <row r="6" spans="1:6" ht="19.5" customHeight="1" x14ac:dyDescent="0.35">
      <c r="B6" s="114" t="s">
        <v>144</v>
      </c>
      <c r="C6" s="114"/>
      <c r="D6" s="114"/>
      <c r="E6" s="114"/>
    </row>
    <row r="7" spans="1:6" ht="18" customHeight="1" x14ac:dyDescent="0.35">
      <c r="B7" s="37" t="s">
        <v>145</v>
      </c>
      <c r="C7" s="22" t="s">
        <v>146</v>
      </c>
      <c r="D7" s="37" t="s">
        <v>147</v>
      </c>
      <c r="E7" s="37" t="s">
        <v>148</v>
      </c>
    </row>
    <row r="8" spans="1:6" ht="25.5" customHeight="1" x14ac:dyDescent="0.35">
      <c r="B8" s="38">
        <v>1</v>
      </c>
      <c r="C8" s="39" t="s">
        <v>149</v>
      </c>
      <c r="D8" s="40" t="s">
        <v>150</v>
      </c>
      <c r="E8" s="41">
        <f t="shared" ref="E8:E19" si="0">IF($D8="Yes",3,IF($D8="Partially",2,IF(OR($D8="No",$D8="Not Sure"),1,0)))</f>
        <v>3</v>
      </c>
    </row>
    <row r="9" spans="1:6" ht="25.5" customHeight="1" x14ac:dyDescent="0.35">
      <c r="B9" s="38">
        <v>2</v>
      </c>
      <c r="C9" s="39" t="s">
        <v>151</v>
      </c>
      <c r="D9" s="40" t="s">
        <v>152</v>
      </c>
      <c r="E9" s="41">
        <f t="shared" si="0"/>
        <v>2</v>
      </c>
    </row>
    <row r="10" spans="1:6" ht="25.5" customHeight="1" x14ac:dyDescent="0.35">
      <c r="B10" s="38">
        <v>3</v>
      </c>
      <c r="C10" s="39" t="s">
        <v>153</v>
      </c>
      <c r="D10" s="40" t="s">
        <v>152</v>
      </c>
      <c r="E10" s="41">
        <f t="shared" si="0"/>
        <v>2</v>
      </c>
    </row>
    <row r="11" spans="1:6" ht="25.5" customHeight="1" x14ac:dyDescent="0.35">
      <c r="B11" s="38">
        <v>4</v>
      </c>
      <c r="C11" s="39" t="s">
        <v>154</v>
      </c>
      <c r="D11" s="40" t="s">
        <v>152</v>
      </c>
      <c r="E11" s="41">
        <f t="shared" si="0"/>
        <v>2</v>
      </c>
    </row>
    <row r="12" spans="1:6" ht="25.5" customHeight="1" x14ac:dyDescent="0.35">
      <c r="B12" s="38">
        <v>5</v>
      </c>
      <c r="C12" s="39" t="s">
        <v>155</v>
      </c>
      <c r="D12" s="40" t="s">
        <v>156</v>
      </c>
      <c r="E12" s="41">
        <f t="shared" si="0"/>
        <v>1</v>
      </c>
    </row>
    <row r="13" spans="1:6" ht="25.5" customHeight="1" x14ac:dyDescent="0.35">
      <c r="B13" s="38">
        <v>6</v>
      </c>
      <c r="C13" s="39" t="s">
        <v>157</v>
      </c>
      <c r="D13" s="40" t="s">
        <v>150</v>
      </c>
      <c r="E13" s="41">
        <f t="shared" si="0"/>
        <v>3</v>
      </c>
    </row>
    <row r="14" spans="1:6" ht="31.5" customHeight="1" x14ac:dyDescent="0.35">
      <c r="B14" s="38">
        <v>7</v>
      </c>
      <c r="C14" s="39" t="s">
        <v>158</v>
      </c>
      <c r="D14" s="40" t="s">
        <v>156</v>
      </c>
      <c r="E14" s="41">
        <f t="shared" si="0"/>
        <v>1</v>
      </c>
    </row>
    <row r="15" spans="1:6" ht="25.5" customHeight="1" x14ac:dyDescent="0.35">
      <c r="B15" s="38">
        <v>8</v>
      </c>
      <c r="C15" s="39" t="s">
        <v>159</v>
      </c>
      <c r="D15" s="40" t="s">
        <v>152</v>
      </c>
      <c r="E15" s="41">
        <f t="shared" si="0"/>
        <v>2</v>
      </c>
    </row>
    <row r="16" spans="1:6" ht="25.5" customHeight="1" x14ac:dyDescent="0.35">
      <c r="B16" s="38">
        <v>9</v>
      </c>
      <c r="C16" s="39" t="s">
        <v>160</v>
      </c>
      <c r="D16" s="40" t="s">
        <v>156</v>
      </c>
      <c r="E16" s="41">
        <f t="shared" si="0"/>
        <v>1</v>
      </c>
    </row>
    <row r="17" spans="2:5" ht="31.5" customHeight="1" x14ac:dyDescent="0.35">
      <c r="B17" s="38">
        <v>10</v>
      </c>
      <c r="C17" s="39" t="s">
        <v>161</v>
      </c>
      <c r="D17" s="40" t="s">
        <v>162</v>
      </c>
      <c r="E17" s="41">
        <f t="shared" si="0"/>
        <v>1</v>
      </c>
    </row>
    <row r="18" spans="2:5" ht="31.5" customHeight="1" x14ac:dyDescent="0.35">
      <c r="B18" s="38">
        <v>11</v>
      </c>
      <c r="C18" s="39" t="s">
        <v>163</v>
      </c>
      <c r="D18" s="40" t="s">
        <v>152</v>
      </c>
      <c r="E18" s="41">
        <f t="shared" si="0"/>
        <v>2</v>
      </c>
    </row>
    <row r="19" spans="2:5" ht="25.5" customHeight="1" x14ac:dyDescent="0.35">
      <c r="B19" s="38">
        <v>12</v>
      </c>
      <c r="C19" s="39" t="s">
        <v>164</v>
      </c>
      <c r="D19" s="40" t="s">
        <v>152</v>
      </c>
      <c r="E19" s="41">
        <f t="shared" si="0"/>
        <v>2</v>
      </c>
    </row>
    <row r="20" spans="2:5" ht="12" customHeight="1" x14ac:dyDescent="0.35"/>
    <row r="21" spans="2:5" ht="19.5" customHeight="1" x14ac:dyDescent="0.35">
      <c r="B21" s="114" t="s">
        <v>165</v>
      </c>
      <c r="C21" s="114"/>
      <c r="D21" s="114"/>
      <c r="E21" s="114"/>
    </row>
    <row r="22" spans="2:5" ht="18.75" customHeight="1" x14ac:dyDescent="0.35">
      <c r="B22" s="121" t="s">
        <v>166</v>
      </c>
      <c r="C22" s="121"/>
      <c r="D22" s="121"/>
      <c r="E22" s="42">
        <f>12-COUNTBLANK(D8:D19)</f>
        <v>12</v>
      </c>
    </row>
    <row r="23" spans="2:5" ht="18.75" customHeight="1" x14ac:dyDescent="0.35">
      <c r="B23" s="121" t="s">
        <v>167</v>
      </c>
      <c r="C23" s="121"/>
      <c r="D23" s="121"/>
      <c r="E23" s="43">
        <f>SUM(E8:E19)</f>
        <v>22</v>
      </c>
    </row>
    <row r="24" spans="2:5" ht="18.75" customHeight="1" x14ac:dyDescent="0.35">
      <c r="B24" s="121" t="s">
        <v>168</v>
      </c>
      <c r="C24" s="121"/>
      <c r="D24" s="121"/>
      <c r="E24" s="43">
        <f>12*3</f>
        <v>36</v>
      </c>
    </row>
    <row r="25" spans="2:5" ht="21.75" customHeight="1" x14ac:dyDescent="0.35">
      <c r="B25" s="122" t="s">
        <v>169</v>
      </c>
      <c r="C25" s="122"/>
      <c r="D25" s="122"/>
      <c r="E25" s="45">
        <f>IFERROR(IF(E22&lt;12,"N/M",IF(E24=0,0,E23/E24)),"N/M")</f>
        <v>0.61111111111111116</v>
      </c>
    </row>
    <row r="26" spans="2:5" ht="19.5" customHeight="1" x14ac:dyDescent="0.35">
      <c r="B26" s="123" t="s">
        <v>170</v>
      </c>
      <c r="C26" s="123"/>
      <c r="D26" s="124" t="str">
        <f>IFERROR(IF(E22&lt;12,"Incomplete",IF(E25&gt;=0.75,"Strong Visibility",IF(E25&gt;=0.5,"Moderate Visibility","Limited Visibility"))),"Incomplete")</f>
        <v>Moderate Visibility</v>
      </c>
      <c r="E26" s="124"/>
    </row>
    <row r="28" spans="2:5" ht="16.5" customHeight="1" x14ac:dyDescent="0.35">
      <c r="B28" s="125" t="s">
        <v>171</v>
      </c>
      <c r="C28" s="125"/>
      <c r="D28" s="125"/>
      <c r="E28" s="125"/>
    </row>
    <row r="29" spans="2:5" ht="16.5" customHeight="1" x14ac:dyDescent="0.35">
      <c r="B29" s="125"/>
      <c r="C29" s="125"/>
      <c r="D29" s="125"/>
      <c r="E29" s="125"/>
    </row>
    <row r="30" spans="2:5" ht="16.5" customHeight="1" x14ac:dyDescent="0.35">
      <c r="B30" s="125"/>
      <c r="C30" s="125"/>
      <c r="D30" s="125"/>
      <c r="E30" s="125"/>
    </row>
    <row r="31" spans="2:5" ht="16.5" customHeight="1" x14ac:dyDescent="0.35">
      <c r="B31" s="125"/>
      <c r="C31" s="125"/>
      <c r="D31" s="125"/>
      <c r="E31" s="125"/>
    </row>
    <row r="33" spans="2:5" ht="18" customHeight="1" x14ac:dyDescent="0.35">
      <c r="B33" s="118" t="s">
        <v>172</v>
      </c>
      <c r="C33" s="118"/>
      <c r="D33" s="118"/>
      <c r="E33" s="118"/>
    </row>
  </sheetData>
  <sheetProtection sheet="1" formatCells="0" sort="0" autoFilter="0"/>
  <mergeCells count="12">
    <mergeCell ref="B28:E31"/>
    <mergeCell ref="B33:E33"/>
    <mergeCell ref="B23:D23"/>
    <mergeCell ref="B24:D24"/>
    <mergeCell ref="B25:D25"/>
    <mergeCell ref="B26:C26"/>
    <mergeCell ref="D26:E26"/>
    <mergeCell ref="B2:E2"/>
    <mergeCell ref="B3:E3"/>
    <mergeCell ref="B6:E6"/>
    <mergeCell ref="B21:E21"/>
    <mergeCell ref="B22:D22"/>
  </mergeCells>
  <dataValidations count="1">
    <dataValidation type="list" allowBlank="1" showErrorMessage="1" errorTitle="Answer" error="Choose Yes, Partially, No, or Not Sure." sqref="D8:D19" xr:uid="{00000000-0002-0000-0200-000000000000}">
      <formula1>"Yes,Partially,No,Not Sure"</formula1>
      <formula2>0</formula2>
    </dataValidation>
  </dataValidations>
  <pageMargins left="0.75" right="0.75" top="1" bottom="1" header="0.511811023622047" footer="0.511811023622047"/>
  <pageSetup fitToHeight="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9"/>
  <sheetViews>
    <sheetView showGridLines="0" zoomScale="90" zoomScaleNormal="90" workbookViewId="0">
      <pane xSplit="2" ySplit="4" topLeftCell="C5" activePane="bottomRight" state="frozen"/>
      <selection pane="topRight" activeCell="C1" sqref="C1"/>
      <selection pane="bottomLeft" activeCell="A5" sqref="A5"/>
      <selection pane="bottomRight" activeCell="M20" sqref="M20"/>
    </sheetView>
  </sheetViews>
  <sheetFormatPr defaultColWidth="8.6328125" defaultRowHeight="14.5" x14ac:dyDescent="0.35"/>
  <cols>
    <col min="1" max="1" width="3" customWidth="1"/>
    <col min="2" max="2" width="59" customWidth="1"/>
    <col min="3" max="5" width="16" customWidth="1"/>
    <col min="6" max="6" width="22" customWidth="1"/>
    <col min="7" max="7" width="3" customWidth="1"/>
    <col min="8" max="8" width="68.81640625" customWidth="1"/>
  </cols>
  <sheetData>
    <row r="1" spans="1:8" ht="13.5" customHeight="1" x14ac:dyDescent="0.35">
      <c r="A1" s="126" t="s">
        <v>0</v>
      </c>
      <c r="B1" s="126"/>
      <c r="C1" s="126"/>
      <c r="D1" s="126"/>
      <c r="E1" s="126"/>
      <c r="F1" s="126"/>
      <c r="G1" s="126"/>
      <c r="H1" s="126"/>
    </row>
    <row r="2" spans="1:8" ht="25.5" customHeight="1" x14ac:dyDescent="0.35">
      <c r="A2" s="127" t="s">
        <v>173</v>
      </c>
      <c r="B2" s="127"/>
      <c r="C2" s="127"/>
      <c r="D2" s="127"/>
      <c r="E2" s="127"/>
      <c r="F2" s="128" t="s">
        <v>174</v>
      </c>
      <c r="G2" s="128"/>
      <c r="H2" s="128"/>
    </row>
    <row r="3" spans="1:8" ht="15.75" customHeight="1" x14ac:dyDescent="0.35">
      <c r="A3" s="129" t="s">
        <v>175</v>
      </c>
      <c r="B3" s="129"/>
      <c r="C3" s="129"/>
      <c r="D3" s="129"/>
      <c r="E3" s="129"/>
      <c r="F3" s="129"/>
      <c r="G3" s="129"/>
      <c r="H3" s="129"/>
    </row>
    <row r="4" spans="1:8" ht="7.5" customHeight="1" x14ac:dyDescent="0.35"/>
    <row r="5" spans="1:8" ht="19.5" customHeight="1" x14ac:dyDescent="0.35">
      <c r="B5" s="114" t="s">
        <v>176</v>
      </c>
      <c r="C5" s="114"/>
      <c r="D5" s="114"/>
      <c r="E5" s="114"/>
      <c r="F5" s="114"/>
    </row>
    <row r="6" spans="1:8" ht="18" customHeight="1" x14ac:dyDescent="0.35">
      <c r="B6" s="22" t="s">
        <v>177</v>
      </c>
      <c r="C6" s="23" t="s">
        <v>178</v>
      </c>
      <c r="H6" s="22" t="s">
        <v>62</v>
      </c>
    </row>
    <row r="7" spans="1:8" ht="31.5" customHeight="1" x14ac:dyDescent="0.35">
      <c r="B7" s="24" t="s">
        <v>179</v>
      </c>
      <c r="C7" s="46">
        <v>1</v>
      </c>
      <c r="H7" s="26" t="s">
        <v>180</v>
      </c>
    </row>
    <row r="8" spans="1:8" ht="31.5" customHeight="1" x14ac:dyDescent="0.35">
      <c r="B8" s="24" t="s">
        <v>181</v>
      </c>
      <c r="C8" s="47">
        <v>0.02</v>
      </c>
      <c r="H8" s="26" t="s">
        <v>182</v>
      </c>
    </row>
    <row r="9" spans="1:8" ht="27.75" customHeight="1" x14ac:dyDescent="0.35">
      <c r="B9" s="130" t="s">
        <v>183</v>
      </c>
      <c r="C9" s="130"/>
      <c r="D9" s="130"/>
      <c r="E9" s="130"/>
      <c r="F9" s="130"/>
      <c r="G9" s="130"/>
      <c r="H9" s="130"/>
    </row>
    <row r="10" spans="1:8" ht="12" customHeight="1" x14ac:dyDescent="0.35"/>
    <row r="11" spans="1:8" ht="19.5" customHeight="1" x14ac:dyDescent="0.35">
      <c r="B11" s="114" t="s">
        <v>184</v>
      </c>
      <c r="C11" s="114"/>
      <c r="D11" s="114"/>
      <c r="E11" s="114"/>
      <c r="F11" s="114"/>
    </row>
    <row r="12" spans="1:8" ht="18" customHeight="1" x14ac:dyDescent="0.35">
      <c r="B12" s="22" t="s">
        <v>185</v>
      </c>
      <c r="C12" s="23" t="s">
        <v>60</v>
      </c>
      <c r="D12" s="23" t="s">
        <v>61</v>
      </c>
      <c r="E12" s="23" t="s">
        <v>186</v>
      </c>
      <c r="F12" s="37" t="s">
        <v>187</v>
      </c>
      <c r="H12" s="22" t="s">
        <v>188</v>
      </c>
    </row>
    <row r="13" spans="1:8" ht="19.5" customHeight="1" x14ac:dyDescent="0.35">
      <c r="B13" s="48" t="s">
        <v>72</v>
      </c>
      <c r="C13" s="49">
        <f>IF(ISNUMBER('FINANCIAL INPUTS'!$C$15),'FINANCIAL INPUTS'!$C$15,"N/M")</f>
        <v>1840000</v>
      </c>
      <c r="D13" s="50">
        <f>IF(ISNUMBER('FINANCIAL INPUTS'!$D$15),'FINANCIAL INPUTS'!$D$15,"N/M")</f>
        <v>1620000</v>
      </c>
      <c r="E13" s="50">
        <f>IF(AND(ISNUMBER(C13),ISNUMBER(D13)),C13-D13,"N/M")</f>
        <v>220000</v>
      </c>
      <c r="F13" s="51" t="str">
        <f>IF(OR(NOT(ISNUMBER(C13)),NOT(ISNUMBER(D13)),D13=0),"—",IF((C13-D13)/ABS(D13)&gt;$C$8,"Improving",IF((C13-D13)/ABS(D13)&lt;-$C$8,"Declining","Relatively Stable")))</f>
        <v>Improving</v>
      </c>
      <c r="H13" s="26" t="s">
        <v>189</v>
      </c>
    </row>
    <row r="14" spans="1:8" ht="19.5" customHeight="1" x14ac:dyDescent="0.35">
      <c r="B14" s="48" t="s">
        <v>190</v>
      </c>
      <c r="C14" s="52">
        <f>IF(AND(ISNUMBER(C13),ISNUMBER(D13),D13&lt;&gt;0),(C13-D13)/D13,"N/M")</f>
        <v>0.13580246913580246</v>
      </c>
      <c r="D14" s="53"/>
      <c r="E14" s="53"/>
      <c r="F14" s="53"/>
      <c r="H14" s="26" t="s">
        <v>191</v>
      </c>
    </row>
    <row r="15" spans="1:8" ht="19.5" customHeight="1" x14ac:dyDescent="0.35">
      <c r="B15" s="48" t="s">
        <v>76</v>
      </c>
      <c r="C15" s="49">
        <f>IF(COUNT('FINANCIAL INPUTS'!$C$15:$C$16)=2,'FINANCIAL INPUTS'!$C$17,"N/M")</f>
        <v>956800</v>
      </c>
      <c r="D15" s="50">
        <f>IF(COUNT('FINANCIAL INPUTS'!$D$15:$D$16)=2,'FINANCIAL INPUTS'!$D$17,"N/M")</f>
        <v>870750</v>
      </c>
      <c r="E15" s="50">
        <f>IF(AND(ISNUMBER(C15),ISNUMBER(D15)),C15-D15,"N/M")</f>
        <v>86050</v>
      </c>
      <c r="F15" s="51" t="str">
        <f>IF(OR(NOT(ISNUMBER(C15)),NOT(ISNUMBER(D15)),D15=0),"—",IF((C15-D15)/ABS(D15)&gt;$C$8,"Improving",IF((C15-D15)/ABS(D15)&lt;-$C$8,"Declining","Relatively Stable")))</f>
        <v>Improving</v>
      </c>
      <c r="H15" s="26" t="s">
        <v>192</v>
      </c>
    </row>
    <row r="16" spans="1:8" ht="22.5" customHeight="1" x14ac:dyDescent="0.35">
      <c r="B16" s="44" t="s">
        <v>193</v>
      </c>
      <c r="C16" s="54">
        <f>IF(AND(ISNUMBER(C15),ISNUMBER(C13),C13&lt;&gt;0),C15/C13,"N/M")</f>
        <v>0.52</v>
      </c>
      <c r="D16" s="54">
        <f>IF(AND(ISNUMBER(D15),ISNUMBER(D13),D13&lt;&gt;0),D15/D13,"N/M")</f>
        <v>0.53749999999999998</v>
      </c>
      <c r="E16" s="55">
        <f>IF(AND(ISNUMBER(C16),ISNUMBER(D16)),(C16-D16)*100,"N/M")</f>
        <v>-1.749999999999996</v>
      </c>
      <c r="F16" s="56" t="str">
        <f>IF(NOT(ISNUMBER(E16)),"—",IF(E16&gt;$C$7,"Improving",IF(E16&lt;-$C$7,"Declining","Relatively Stable")))</f>
        <v>Declining</v>
      </c>
      <c r="H16" s="26" t="s">
        <v>194</v>
      </c>
    </row>
    <row r="17" spans="2:8" ht="19.5" customHeight="1" x14ac:dyDescent="0.35">
      <c r="B17" s="48" t="s">
        <v>80</v>
      </c>
      <c r="C17" s="49">
        <f>IF(AND(COUNT('FINANCIAL INPUTS'!$C$15:$C$16)=2,ISNUMBER('FINANCIAL INPUTS'!$C$18)),'FINANCIAL INPUTS'!$C$19,"N/M")</f>
        <v>118800</v>
      </c>
      <c r="D17" s="50">
        <f>IF(AND(COUNT('FINANCIAL INPUTS'!$D$15:$D$16)=2,ISNUMBER('FINANCIAL INPUTS'!$D$18)),'FINANCIAL INPUTS'!$D$19,"N/M")</f>
        <v>125750</v>
      </c>
      <c r="E17" s="50">
        <f>IF(AND(ISNUMBER(C17),ISNUMBER(D17)),C17-D17,"N/M")</f>
        <v>-6950</v>
      </c>
      <c r="F17" s="51" t="str">
        <f>IF(OR(NOT(ISNUMBER(C17)),NOT(ISNUMBER(D17)),D17=0),"—",IF((C17-D17)/ABS(D17)&gt;$C$8,"Improving",IF((C17-D17)/ABS(D17)&lt;-$C$8,"Declining","Relatively Stable")))</f>
        <v>Declining</v>
      </c>
      <c r="H17" s="26" t="s">
        <v>81</v>
      </c>
    </row>
    <row r="18" spans="2:8" ht="19.5" customHeight="1" x14ac:dyDescent="0.35">
      <c r="B18" s="44" t="s">
        <v>195</v>
      </c>
      <c r="C18" s="54">
        <f>IF(AND(ISNUMBER(C17),ISNUMBER(C13),C13&lt;&gt;0),C17/C13,"N/M")</f>
        <v>6.4565217391304344E-2</v>
      </c>
      <c r="D18" s="54">
        <f>IF(AND(ISNUMBER(D17),ISNUMBER(D13),D13&lt;&gt;0),D17/D13,"N/M")</f>
        <v>7.762345679012346E-2</v>
      </c>
      <c r="E18" s="55">
        <f>IF(AND(ISNUMBER(C18),ISNUMBER(D18)),(C18-D18)*100,"N/M")</f>
        <v>-1.3058239398819116</v>
      </c>
      <c r="F18" s="56" t="str">
        <f>IF(NOT(ISNUMBER(E18)),"—",IF(E18&gt;$C$7,"Improving",IF(E18&lt;-$C$7,"Declining","Relatively Stable")))</f>
        <v>Declining</v>
      </c>
      <c r="H18" s="26" t="s">
        <v>196</v>
      </c>
    </row>
    <row r="19" spans="2:8" ht="19.5" customHeight="1" x14ac:dyDescent="0.35">
      <c r="B19" s="48" t="s">
        <v>84</v>
      </c>
      <c r="C19" s="49">
        <f>IF(ISNUMBER('FINANCIAL INPUTS'!$C$21),'FINANCIAL INPUTS'!$C$21,"N/M")</f>
        <v>82000</v>
      </c>
      <c r="D19" s="50">
        <f>IF(ISNUMBER('FINANCIAL INPUTS'!$D$21),'FINANCIAL INPUTS'!$D$21,"N/M")</f>
        <v>88500</v>
      </c>
      <c r="E19" s="50">
        <f>IF(AND(ISNUMBER(C19),ISNUMBER(D19)),C19-D19,"N/M")</f>
        <v>-6500</v>
      </c>
      <c r="F19" s="51" t="str">
        <f>IF(OR(NOT(ISNUMBER(C19)),NOT(ISNUMBER(D19)),D19=0),"—",IF((C19-D19)/ABS(D19)&gt;$C$8,"Improving",IF((C19-D19)/ABS(D19)&lt;-$C$8,"Declining","Relatively Stable")))</f>
        <v>Declining</v>
      </c>
      <c r="H19" s="26" t="s">
        <v>197</v>
      </c>
    </row>
    <row r="20" spans="2:8" ht="19.5" customHeight="1" x14ac:dyDescent="0.35">
      <c r="B20" s="44" t="s">
        <v>198</v>
      </c>
      <c r="C20" s="54">
        <f>IF(AND(ISNUMBER(C19),ISNUMBER(C13),C13&lt;&gt;0),C19/C13,"N/M")</f>
        <v>4.4565217391304347E-2</v>
      </c>
      <c r="D20" s="54">
        <f>IF(AND(ISNUMBER(D19),ISNUMBER(D13),D13&lt;&gt;0),D19/D13,"N/M")</f>
        <v>5.4629629629629632E-2</v>
      </c>
      <c r="E20" s="55">
        <f>IF(AND(ISNUMBER(C20),ISNUMBER(D20)),(C20-D20)*100,"N/M")</f>
        <v>-1.0064412238325284</v>
      </c>
      <c r="F20" s="56" t="str">
        <f>IF(NOT(ISNUMBER(E20)),"—",IF(E20&gt;$C$7,"Improving",IF(E20&lt;-$C$7,"Declining","Relatively Stable")))</f>
        <v>Declining</v>
      </c>
      <c r="H20" s="26" t="s">
        <v>199</v>
      </c>
    </row>
    <row r="21" spans="2:8" ht="12" customHeight="1" x14ac:dyDescent="0.35"/>
    <row r="22" spans="2:8" ht="19.5" customHeight="1" x14ac:dyDescent="0.35">
      <c r="B22" s="114" t="s">
        <v>119</v>
      </c>
      <c r="C22" s="114"/>
      <c r="D22" s="114"/>
      <c r="E22" s="114"/>
      <c r="F22" s="114"/>
    </row>
    <row r="23" spans="2:8" ht="18" customHeight="1" x14ac:dyDescent="0.35">
      <c r="B23" s="22" t="s">
        <v>185</v>
      </c>
      <c r="C23" s="23" t="s">
        <v>60</v>
      </c>
      <c r="D23" s="23" t="s">
        <v>61</v>
      </c>
      <c r="E23" s="23" t="s">
        <v>186</v>
      </c>
      <c r="F23" s="37" t="s">
        <v>187</v>
      </c>
      <c r="H23" s="22" t="s">
        <v>188</v>
      </c>
    </row>
    <row r="24" spans="2:8" ht="19.5" customHeight="1" x14ac:dyDescent="0.35">
      <c r="B24" s="44" t="s">
        <v>200</v>
      </c>
      <c r="C24" s="57">
        <f>IF(ISNUMBER('FINANCIAL INPUTS'!$C$44),'FINANCIAL INPUTS'!$C$44,"N/M")</f>
        <v>61000</v>
      </c>
      <c r="D24" s="57">
        <f>IF(ISNUMBER('FINANCIAL INPUTS'!$D$44),'FINANCIAL INPUTS'!$D$44,"N/M")</f>
        <v>104000</v>
      </c>
      <c r="E24" s="57">
        <f>IF(AND(ISNUMBER(C24),ISNUMBER(D24)),C24-D24,"N/M")</f>
        <v>-43000</v>
      </c>
      <c r="F24" s="56" t="str">
        <f>IF(OR(NOT(ISNUMBER(C24)),NOT(ISNUMBER(D24)),D24=0),"—",IF((C24-D24)/ABS(D24)&gt;$C$8,"Improving",IF((C24-D24)/ABS(D24)&lt;-$C$8,"Declining","Relatively Stable")))</f>
        <v>Declining</v>
      </c>
      <c r="H24" s="26" t="s">
        <v>201</v>
      </c>
    </row>
    <row r="25" spans="2:8" ht="19.5" customHeight="1" x14ac:dyDescent="0.35">
      <c r="B25" s="48" t="s">
        <v>202</v>
      </c>
      <c r="C25" s="52">
        <f>IF(AND(ISNUMBER(C24),ISNUMBER(C13),C13&lt;&gt;0),C24/C13,"N/M")</f>
        <v>3.3152173913043481E-2</v>
      </c>
      <c r="D25" s="58">
        <f>IF(AND(ISNUMBER(D24),ISNUMBER(D13),D13&lt;&gt;0),D24/D13,"N/M")</f>
        <v>6.4197530864197536E-2</v>
      </c>
      <c r="E25" s="59">
        <f>IF(AND(ISNUMBER(C25),ISNUMBER(D25)),(C25-D25)*100,"N/M")</f>
        <v>-3.1045356951154055</v>
      </c>
      <c r="F25" s="51" t="str">
        <f>IF(NOT(ISNUMBER(E25)),"—",IF(E25&gt;$C$7,"Improving",IF(E25&lt;-$C$7,"Declining","Relatively Stable")))</f>
        <v>Declining</v>
      </c>
      <c r="H25" s="26" t="s">
        <v>203</v>
      </c>
    </row>
    <row r="26" spans="2:8" ht="30" customHeight="1" x14ac:dyDescent="0.35">
      <c r="B26" s="48" t="s">
        <v>204</v>
      </c>
      <c r="C26" s="52">
        <f>IF(AND(ISNUMBER(C19),ISNUMBER(C24),C19&gt;0),C24/C19,"N/M")</f>
        <v>0.74390243902439024</v>
      </c>
      <c r="D26" s="58">
        <f>IF(AND(ISNUMBER(D19),ISNUMBER(D24),D19&gt;0),D24/D19,"N/M")</f>
        <v>1.1751412429378532</v>
      </c>
      <c r="E26" s="53"/>
      <c r="F26" s="53"/>
      <c r="H26" s="26" t="s">
        <v>205</v>
      </c>
    </row>
    <row r="27" spans="2:8" ht="19.5" customHeight="1" x14ac:dyDescent="0.35">
      <c r="B27" s="48" t="s">
        <v>122</v>
      </c>
      <c r="C27" s="49">
        <f>IF(ISNUMBER('FINANCIAL INPUTS'!$C$45),'FINANCIAL INPUTS'!$C$45,"N/M")</f>
        <v>42000</v>
      </c>
      <c r="D27" s="50">
        <f>IF(ISNUMBER('FINANCIAL INPUTS'!$D$45),'FINANCIAL INPUTS'!$D$45,"N/M")</f>
        <v>26000</v>
      </c>
      <c r="E27" s="50">
        <f>IF(AND(ISNUMBER(C27),ISNUMBER(D27)),C27-D27,"N/M")</f>
        <v>16000</v>
      </c>
      <c r="F27" s="51" t="str">
        <f>IF(OR(NOT(ISNUMBER(C27)),NOT(ISNUMBER(D27)),D27=0),"—",IF((C27-D27)/ABS(D27)&gt;$C$8,"Increasing",IF((C27-D27)/ABS(D27)&lt;-$C$8,"Decreasing","Relatively Stable")))</f>
        <v>Increasing</v>
      </c>
      <c r="H27" s="26" t="s">
        <v>206</v>
      </c>
    </row>
    <row r="28" spans="2:8" ht="27" customHeight="1" x14ac:dyDescent="0.35">
      <c r="B28" s="44" t="s">
        <v>207</v>
      </c>
      <c r="C28" s="57">
        <f>IF(AND(ISNUMBER(C24),ISNUMBER(C27)),C24-C27,"N/M")</f>
        <v>19000</v>
      </c>
      <c r="D28" s="57">
        <f>IF(AND(ISNUMBER(D24),ISNUMBER(D27)),D24-D27,"N/M")</f>
        <v>78000</v>
      </c>
      <c r="E28" s="57">
        <f>IF(AND(ISNUMBER(C28),ISNUMBER(D28)),C28-D28,"N/M")</f>
        <v>-59000</v>
      </c>
      <c r="F28" s="56" t="str">
        <f>IF(OR(NOT(ISNUMBER(C28)),NOT(ISNUMBER(D28)),D28=0),"—",IF((C28-D28)/ABS(D28)&gt;$C$8,"Improving",IF((C28-D28)/ABS(D28)&lt;-$C$8,"Declining","Relatively Stable")))</f>
        <v>Declining</v>
      </c>
      <c r="H28" s="26" t="s">
        <v>208</v>
      </c>
    </row>
    <row r="29" spans="2:8" ht="19.5" customHeight="1" x14ac:dyDescent="0.35">
      <c r="B29" s="48" t="s">
        <v>124</v>
      </c>
      <c r="C29" s="49">
        <f>IF(ISNUMBER('FINANCIAL INPUTS'!$C$46),'FINANCIAL INPUTS'!$C$46,"N/M")</f>
        <v>60000</v>
      </c>
      <c r="D29" s="50">
        <f>IF(ISNUMBER('FINANCIAL INPUTS'!$D$46),'FINANCIAL INPUTS'!$D$46,"N/M")</f>
        <v>55000</v>
      </c>
      <c r="E29" s="50">
        <f>IF(AND(ISNUMBER(C29),ISNUMBER(D29)),C29-D29,"N/M")</f>
        <v>5000</v>
      </c>
      <c r="F29" s="51" t="str">
        <f>IF(OR(NOT(ISNUMBER(C29)),NOT(ISNUMBER(D29)),D29=0),"—",IF((C29-D29)/ABS(D29)&gt;$C$8,"Increasing",IF((C29-D29)/ABS(D29)&lt;-$C$8,"Decreasing","Relatively Stable")))</f>
        <v>Increasing</v>
      </c>
      <c r="H29" s="26" t="s">
        <v>209</v>
      </c>
    </row>
    <row r="30" spans="2:8" ht="27.75" customHeight="1" x14ac:dyDescent="0.35">
      <c r="B30" s="48" t="s">
        <v>210</v>
      </c>
      <c r="C30" s="49">
        <f>IF(AND(ISNUMBER(C28),ISNUMBER(C29)),C28-C29,"N/M")</f>
        <v>-41000</v>
      </c>
      <c r="D30" s="50">
        <f>IF(AND(ISNUMBER(D28),ISNUMBER(D29)),D28-D29,"N/M")</f>
        <v>23000</v>
      </c>
      <c r="E30" s="50">
        <f>IF(AND(ISNUMBER(C30),ISNUMBER(D30)),C30-D30,"N/M")</f>
        <v>-64000</v>
      </c>
      <c r="F30" s="51" t="str">
        <f>IF(OR(NOT(ISNUMBER(C30)),NOT(ISNUMBER(D30)),D30=0),"—",IF((C30-D30)/ABS(D30)&gt;$C$8,"Improving",IF((C30-D30)/ABS(D30)&lt;-$C$8,"Declining","Relatively Stable")))</f>
        <v>Declining</v>
      </c>
      <c r="H30" s="26" t="s">
        <v>211</v>
      </c>
    </row>
    <row r="31" spans="2:8" ht="19.5" customHeight="1" x14ac:dyDescent="0.35">
      <c r="B31" s="48" t="s">
        <v>212</v>
      </c>
      <c r="C31" s="53"/>
      <c r="D31" s="53"/>
      <c r="E31" s="50">
        <f>IF(AND(ISNUMBER('FINANCIAL INPUTS'!$C$25),ISNUMBER('FINANCIAL INPUTS'!$D$25)),'FINANCIAL INPUTS'!$C$25-'FINANCIAL INPUTS'!$D$25,"N/M")</f>
        <v>31000</v>
      </c>
      <c r="F31" s="53"/>
      <c r="H31" s="26" t="s">
        <v>213</v>
      </c>
    </row>
    <row r="32" spans="2:8" ht="18" customHeight="1" x14ac:dyDescent="0.35">
      <c r="B32" s="116" t="s">
        <v>214</v>
      </c>
      <c r="C32" s="116"/>
      <c r="D32" s="116"/>
      <c r="E32" s="116"/>
      <c r="F32" s="116"/>
      <c r="G32" s="116"/>
      <c r="H32" s="116"/>
    </row>
    <row r="33" spans="2:8" ht="12" customHeight="1" x14ac:dyDescent="0.35"/>
    <row r="34" spans="2:8" ht="19.5" customHeight="1" x14ac:dyDescent="0.35">
      <c r="B34" s="114" t="s">
        <v>215</v>
      </c>
      <c r="C34" s="114"/>
      <c r="D34" s="114"/>
      <c r="E34" s="114"/>
      <c r="F34" s="114"/>
    </row>
    <row r="35" spans="2:8" ht="18" customHeight="1" x14ac:dyDescent="0.35">
      <c r="B35" s="22" t="s">
        <v>185</v>
      </c>
      <c r="C35" s="23" t="s">
        <v>60</v>
      </c>
      <c r="D35" s="23" t="s">
        <v>61</v>
      </c>
      <c r="E35" s="23" t="s">
        <v>186</v>
      </c>
      <c r="F35" s="37" t="s">
        <v>187</v>
      </c>
      <c r="H35" s="22" t="s">
        <v>188</v>
      </c>
    </row>
    <row r="36" spans="2:8" ht="19.5" customHeight="1" x14ac:dyDescent="0.35">
      <c r="B36" s="48" t="s">
        <v>95</v>
      </c>
      <c r="C36" s="49">
        <f>IF(COUNT('FINANCIAL INPUTS'!$C$25:$C$28)=4,'FINANCIAL INPUTS'!$C$29,"N/M")</f>
        <v>511000</v>
      </c>
      <c r="D36" s="50">
        <f>IF(COUNT('FINANCIAL INPUTS'!$D$25:$D$28)=4,'FINANCIAL INPUTS'!$D$29,"N/M")</f>
        <v>402000</v>
      </c>
      <c r="E36" s="50">
        <f>IF(AND(ISNUMBER(C36),ISNUMBER(D36)),C36-D36,"N/M")</f>
        <v>109000</v>
      </c>
      <c r="F36" s="51" t="str">
        <f>IF(OR(NOT(ISNUMBER(C36)),NOT(ISNUMBER(D36)),D36=0),"—",IF((C36-D36)/ABS(D36)&gt;$C$8,"Increasing",IF((C36-D36)/ABS(D36)&lt;-$C$8,"Decreasing","Relatively Stable")))</f>
        <v>Increasing</v>
      </c>
      <c r="H36" s="26" t="s">
        <v>96</v>
      </c>
    </row>
    <row r="37" spans="2:8" ht="19.5" customHeight="1" x14ac:dyDescent="0.35">
      <c r="B37" s="48" t="s">
        <v>103</v>
      </c>
      <c r="C37" s="49">
        <f>IF(COUNT('FINANCIAL INPUTS'!$C$30:$C$32)=3,'FINANCIAL INPUTS'!$C$33,"N/M")</f>
        <v>254000</v>
      </c>
      <c r="D37" s="50">
        <f>IF(COUNT('FINANCIAL INPUTS'!$D$30:$D$32)=3,'FINANCIAL INPUTS'!$D$33,"N/M")</f>
        <v>223000</v>
      </c>
      <c r="E37" s="50">
        <f>IF(AND(ISNUMBER(C37),ISNUMBER(D37)),C37-D37,"N/M")</f>
        <v>31000</v>
      </c>
      <c r="F37" s="51" t="str">
        <f>IF(OR(NOT(ISNUMBER(C37)),NOT(ISNUMBER(D37)),D37=0),"—",IF((C37-D37)/ABS(D37)&gt;$C$8,"Increasing",IF((C37-D37)/ABS(D37)&lt;-$C$8,"Decreasing","Relatively Stable")))</f>
        <v>Increasing</v>
      </c>
      <c r="H37" s="26" t="s">
        <v>104</v>
      </c>
    </row>
    <row r="38" spans="2:8" ht="19.5" customHeight="1" x14ac:dyDescent="0.35">
      <c r="B38" s="44" t="s">
        <v>216</v>
      </c>
      <c r="C38" s="57">
        <f>IF(AND(ISNUMBER(C36),ISNUMBER(C37)),C36-C37,"N/M")</f>
        <v>257000</v>
      </c>
      <c r="D38" s="57">
        <f>IF(AND(ISNUMBER(D36),ISNUMBER(D37)),D36-D37,"N/M")</f>
        <v>179000</v>
      </c>
      <c r="E38" s="57">
        <f>IF(AND(ISNUMBER(C38),ISNUMBER(D38)),C38-D38,"N/M")</f>
        <v>78000</v>
      </c>
      <c r="F38" s="56" t="str">
        <f>IF(OR(NOT(ISNUMBER(C38)),NOT(ISNUMBER(D38)),D38=0),"—",IF((C38-D38)/ABS(D38)&gt;$C$8,"Improving",IF((C38-D38)/ABS(D38)&lt;-$C$8,"Declining","Relatively Stable")))</f>
        <v>Improving</v>
      </c>
      <c r="H38" s="26" t="s">
        <v>217</v>
      </c>
    </row>
    <row r="39" spans="2:8" ht="27.75" customHeight="1" x14ac:dyDescent="0.35">
      <c r="B39" s="48" t="s">
        <v>218</v>
      </c>
      <c r="C39" s="60">
        <f>IF(AND(ISNUMBER(C36),ISNUMBER(C37),C37&lt;&gt;0),C36/C37,"N/M")</f>
        <v>2.0118110236220472</v>
      </c>
      <c r="D39" s="61">
        <f>IF(AND(ISNUMBER(D36),ISNUMBER(D37),D37&lt;&gt;0),D36/D37,"N/M")</f>
        <v>1.8026905829596414</v>
      </c>
      <c r="E39" s="53"/>
      <c r="F39" s="51" t="str">
        <f>IF(OR(NOT(ISNUMBER(C39)),NOT(ISNUMBER(D39)),D39=0),"—",IF((C39-D39)/ABS(D39)&gt;$C$8,"Increasing",IF((C39-D39)/ABS(D39)&lt;-$C$8,"Decreasing","Relatively Stable")))</f>
        <v>Increasing</v>
      </c>
      <c r="H39" s="26" t="s">
        <v>219</v>
      </c>
    </row>
    <row r="40" spans="2:8" ht="19.5" customHeight="1" x14ac:dyDescent="0.35">
      <c r="B40" s="48" t="s">
        <v>89</v>
      </c>
      <c r="C40" s="49">
        <f>IF(ISNUMBER('FINANCIAL INPUTS'!$C$26),'FINANCIAL INPUTS'!$C$26,"N/M")</f>
        <v>322000</v>
      </c>
      <c r="D40" s="50">
        <f>IF(ISNUMBER('FINANCIAL INPUTS'!$D$26),'FINANCIAL INPUTS'!$D$26,"N/M")</f>
        <v>248000</v>
      </c>
      <c r="E40" s="50">
        <f>IF(AND(ISNUMBER(C40),ISNUMBER(D40)),C40-D40,"N/M")</f>
        <v>74000</v>
      </c>
      <c r="F40" s="51" t="str">
        <f>IF(OR(NOT(ISNUMBER(C40)),NOT(ISNUMBER(D40)),D40=0),"—",IF((C40-D40)/ABS(D40)&gt;$C$8,"Increasing",IF((C40-D40)/ABS(D40)&lt;-$C$8,"Decreasing","Relatively Stable")))</f>
        <v>Increasing</v>
      </c>
      <c r="H40" s="26" t="s">
        <v>220</v>
      </c>
    </row>
    <row r="41" spans="2:8" ht="27.75" customHeight="1" x14ac:dyDescent="0.35">
      <c r="B41" s="44" t="s">
        <v>221</v>
      </c>
      <c r="C41" s="54">
        <f>IF(AND(ISNUMBER(C40),ISNUMBER(C13),C13&lt;&gt;0),C40/C13,"N/M")</f>
        <v>0.17499999999999999</v>
      </c>
      <c r="D41" s="54">
        <f>IF(AND(ISNUMBER(D40),ISNUMBER(D13),D13&lt;&gt;0),D40/D13,"N/M")</f>
        <v>0.15308641975308643</v>
      </c>
      <c r="E41" s="55">
        <f>IF(AND(ISNUMBER(C41),ISNUMBER(D41)),(C41-D41)*100,"N/M")</f>
        <v>2.1913580246913562</v>
      </c>
      <c r="F41" s="56" t="str">
        <f>IF(NOT(ISNUMBER(E41)),"—",IF(E41&gt;$C$7,"Increasing",IF(E41&lt;-$C$7,"Decreasing","Relatively Stable")))</f>
        <v>Increasing</v>
      </c>
      <c r="H41" s="26" t="s">
        <v>222</v>
      </c>
    </row>
    <row r="42" spans="2:8" ht="31.5" customHeight="1" x14ac:dyDescent="0.35">
      <c r="B42" s="48" t="s">
        <v>223</v>
      </c>
      <c r="C42" s="52">
        <f>IF(AND(ISNUMBER('FINANCIAL INPUTS'!$C$30),ISNUMBER(C13),C13&lt;&gt;0),'FINANCIAL INPUTS'!$C$30/C13,"N/M")</f>
        <v>7.4999999999999997E-2</v>
      </c>
      <c r="D42" s="58">
        <f>IF(AND(ISNUMBER('FINANCIAL INPUTS'!$D$30),ISNUMBER(D13),D13&lt;&gt;0),'FINANCIAL INPUTS'!$D$30/D13,"N/M")</f>
        <v>7.4691358024691359E-2</v>
      </c>
      <c r="E42" s="59">
        <f>IF(AND(ISNUMBER(C42),ISNUMBER(D42)),(C42-D42)*100,"N/M")</f>
        <v>3.0864197530863779E-2</v>
      </c>
      <c r="F42" s="51" t="str">
        <f>IF(NOT(ISNUMBER(E42)),"—",IF(E42&gt;$C$7,"Increasing",IF(E42&lt;-$C$7,"Decreasing","Relatively Stable")))</f>
        <v>Relatively Stable</v>
      </c>
      <c r="H42" s="26" t="s">
        <v>224</v>
      </c>
    </row>
    <row r="43" spans="2:8" ht="30" customHeight="1" x14ac:dyDescent="0.35">
      <c r="B43" s="48" t="s">
        <v>225</v>
      </c>
      <c r="C43" s="62">
        <f>IF(AND(ISNUMBER(C40),ISNUMBER(C13),C13&lt;&gt;0,'FINANCIAL INPUTS'!$C$10&lt;&gt;0),C40/C13*'FINANCIAL INPUTS'!$C$10,"N/M")</f>
        <v>63.874999999999993</v>
      </c>
      <c r="D43" s="63">
        <f>IF(AND(ISNUMBER(D40),ISNUMBER(D13),D13&lt;&gt;0,'FINANCIAL INPUTS'!$D$10&lt;&gt;0),D40/D13*'FINANCIAL INPUTS'!$D$10,"N/M")</f>
        <v>55.876543209876544</v>
      </c>
      <c r="E43" s="53"/>
      <c r="F43" s="51" t="str">
        <f>IF(OR(NOT(ISNUMBER(C43)),NOT(ISNUMBER(D43)),D43=0),"—",IF((C43-D43)/ABS(D43)&gt;$C$8,"Increasing",IF((C43-D43)/ABS(D43)&lt;-$C$8,"Decreasing","Relatively Stable")))</f>
        <v>Increasing</v>
      </c>
      <c r="H43" s="26" t="s">
        <v>226</v>
      </c>
    </row>
    <row r="44" spans="2:8" ht="18" customHeight="1" x14ac:dyDescent="0.35">
      <c r="B44" s="116" t="s">
        <v>227</v>
      </c>
      <c r="C44" s="116"/>
      <c r="D44" s="116"/>
      <c r="E44" s="116"/>
      <c r="F44" s="116"/>
      <c r="G44" s="116"/>
      <c r="H44" s="116"/>
    </row>
    <row r="45" spans="2:8" ht="12" customHeight="1" x14ac:dyDescent="0.35"/>
    <row r="46" spans="2:8" ht="19.5" customHeight="1" x14ac:dyDescent="0.35">
      <c r="B46" s="114" t="s">
        <v>228</v>
      </c>
      <c r="C46" s="114"/>
      <c r="D46" s="114"/>
      <c r="E46" s="114"/>
      <c r="F46" s="114"/>
    </row>
    <row r="47" spans="2:8" ht="18" customHeight="1" x14ac:dyDescent="0.35">
      <c r="B47" s="22" t="s">
        <v>185</v>
      </c>
      <c r="C47" s="23" t="s">
        <v>60</v>
      </c>
      <c r="D47" s="23" t="s">
        <v>61</v>
      </c>
      <c r="E47" s="23" t="s">
        <v>186</v>
      </c>
      <c r="F47" s="37" t="s">
        <v>187</v>
      </c>
      <c r="H47" s="22" t="s">
        <v>188</v>
      </c>
    </row>
    <row r="48" spans="2:8" ht="19.5" customHeight="1" x14ac:dyDescent="0.35">
      <c r="B48" s="44" t="s">
        <v>87</v>
      </c>
      <c r="C48" s="57">
        <f>IF(ISNUMBER('FINANCIAL INPUTS'!$C$25),'FINANCIAL INPUTS'!$C$25,"N/M")</f>
        <v>163000</v>
      </c>
      <c r="D48" s="57">
        <f>IF(ISNUMBER('FINANCIAL INPUTS'!$D$25),'FINANCIAL INPUTS'!$D$25,"N/M")</f>
        <v>132000</v>
      </c>
      <c r="E48" s="57">
        <f>IF(AND(ISNUMBER(C48),ISNUMBER(D48)),C48-D48,"N/M")</f>
        <v>31000</v>
      </c>
      <c r="F48" s="56" t="str">
        <f>IF(OR(NOT(ISNUMBER(C48)),NOT(ISNUMBER(D48)),D48=0),"—",IF((C48-D48)/ABS(D48)&gt;$C$8,"Increasing",IF((C48-D48)/ABS(D48)&lt;-$C$8,"Decreasing","Relatively Stable")))</f>
        <v>Increasing</v>
      </c>
      <c r="H48" s="26" t="s">
        <v>229</v>
      </c>
    </row>
    <row r="49" spans="2:8" ht="31.5" customHeight="1" x14ac:dyDescent="0.35">
      <c r="B49" s="48" t="s">
        <v>230</v>
      </c>
      <c r="C49" s="64">
        <f>IF(AND(ISNUMBER(C48),ISNUMBER('FINANCIAL INPUTS'!$C$53),'FINANCIAL INPUTS'!$C$53&gt;0),C48/'FINANCIAL INPUTS'!$C$53,"N/M")</f>
        <v>2.3285714285714287</v>
      </c>
      <c r="D49" s="65">
        <f>IF(AND(ISNUMBER(D48),ISNUMBER('FINANCIAL INPUTS'!$D$53),'FINANCIAL INPUTS'!$D$53&gt;0),D48/'FINANCIAL INPUTS'!$D$53,"N/M")</f>
        <v>2.129032258064516</v>
      </c>
      <c r="E49" s="53"/>
      <c r="F49" s="51" t="str">
        <f>IF(OR(NOT(ISNUMBER(C49)),NOT(ISNUMBER(D49)),D49=0),"—",IF((C49-D49)/ABS(D49)&gt;$C$8,"Improving",IF((C49-D49)/ABS(D49)&lt;-$C$8,"Declining","Relatively Stable")))</f>
        <v>Improving</v>
      </c>
      <c r="H49" s="26" t="s">
        <v>231</v>
      </c>
    </row>
    <row r="50" spans="2:8" ht="25.5" customHeight="1" x14ac:dyDescent="0.35">
      <c r="B50" s="48" t="s">
        <v>232</v>
      </c>
      <c r="C50" s="49">
        <f>IF(AND(ISNUMBER(C48),ISNUMBER('FINANCIAL INPUTS'!$C$54)),C48-'FINANCIAL INPUTS'!$C$54,"N/M")</f>
        <v>43000</v>
      </c>
      <c r="D50" s="53"/>
      <c r="E50" s="53"/>
      <c r="F50" s="53"/>
      <c r="H50" s="26" t="s">
        <v>233</v>
      </c>
    </row>
    <row r="51" spans="2:8" ht="19.5" customHeight="1" x14ac:dyDescent="0.35">
      <c r="B51" s="44" t="s">
        <v>107</v>
      </c>
      <c r="C51" s="57">
        <f>IF(AND(ISNUMBER('FINANCIAL INPUTS'!$C$32),ISNUMBER('FINANCIAL INPUTS'!$C$34)),'FINANCIAL INPUTS'!$C$35,"N/M")</f>
        <v>320000</v>
      </c>
      <c r="D51" s="57">
        <f>IF(AND(ISNUMBER('FINANCIAL INPUTS'!$D$32),ISNUMBER('FINANCIAL INPUTS'!$D$34)),'FINANCIAL INPUTS'!$D$35,"N/M")</f>
        <v>248000</v>
      </c>
      <c r="E51" s="57">
        <f>IF(AND(ISNUMBER(C51),ISNUMBER(D51)),C51-D51,"N/M")</f>
        <v>72000</v>
      </c>
      <c r="F51" s="56" t="str">
        <f>IF(OR(NOT(ISNUMBER(C51)),NOT(ISNUMBER(D51)),D51=0),"—",IF((C51-D51)/ABS(D51)&gt;$C$8,"Increasing",IF((C51-D51)/ABS(D51)&lt;-$C$8,"Decreasing","Relatively Stable")))</f>
        <v>Increasing</v>
      </c>
      <c r="H51" s="26" t="s">
        <v>108</v>
      </c>
    </row>
    <row r="52" spans="2:8" ht="30" customHeight="1" x14ac:dyDescent="0.35">
      <c r="B52" s="48" t="s">
        <v>234</v>
      </c>
      <c r="C52" s="60">
        <f>IF(AND(ISNUMBER(C51),ISNUMBER('FINANCIAL INPUTS'!$C$38),'FINANCIAL INPUTS'!$C$38&gt;0),C51/'FINANCIAL INPUTS'!$C$38,"N/M")</f>
        <v>1.5023474178403755</v>
      </c>
      <c r="D52" s="61">
        <f>IF(AND(ISNUMBER(D51),ISNUMBER('FINANCIAL INPUTS'!$D$38),'FINANCIAL INPUTS'!$D$38&gt;0),D51/'FINANCIAL INPUTS'!$D$38,"N/M")</f>
        <v>1.2984293193717278</v>
      </c>
      <c r="E52" s="53"/>
      <c r="F52" s="51" t="str">
        <f>IF(OR(NOT(ISNUMBER(C52)),NOT(ISNUMBER(D52)),D52=0),"—",IF((C52-D52)/ABS(D52)&gt;$C$8,"Increasing",IF((C52-D52)/ABS(D52)&lt;-$C$8,"Decreasing","Relatively Stable")))</f>
        <v>Increasing</v>
      </c>
      <c r="H52" s="26" t="s">
        <v>235</v>
      </c>
    </row>
    <row r="53" spans="2:8" ht="30" customHeight="1" x14ac:dyDescent="0.35">
      <c r="B53" s="48" t="s">
        <v>236</v>
      </c>
      <c r="C53" s="60">
        <f>IF(AND(ISNUMBER(C17),ISNUMBER('FINANCIAL INPUTS'!$C$20)),IF('FINANCIAL INPUTS'!$C$20&lt;=0,"n/a",C17/'FINANCIAL INPUTS'!$C$20),"N/M")</f>
        <v>6.4565217391304346</v>
      </c>
      <c r="D53" s="61">
        <f>IF(AND(ISNUMBER(D17),ISNUMBER('FINANCIAL INPUTS'!$D$20)),IF('FINANCIAL INPUTS'!$D$20&lt;=0,"n/a",D17/'FINANCIAL INPUTS'!$D$20),"N/M")</f>
        <v>8.6130136986301373</v>
      </c>
      <c r="E53" s="53"/>
      <c r="F53" s="51" t="str">
        <f>IF(AND(ISNUMBER('FINANCIAL INPUTS'!$C$20),'FINANCIAL INPUTS'!$C$20&lt;=0),"No interest expense entered","")</f>
        <v/>
      </c>
      <c r="H53" s="26" t="s">
        <v>237</v>
      </c>
    </row>
    <row r="54" spans="2:8" ht="19.5" customHeight="1" x14ac:dyDescent="0.35">
      <c r="B54" s="48" t="s">
        <v>238</v>
      </c>
      <c r="C54" s="49">
        <f>IF(ISNUMBER('FINANCIAL INPUTS'!$C$38),'FINANCIAL INPUTS'!$C$38,"N/M")</f>
        <v>213000</v>
      </c>
      <c r="D54" s="50">
        <f>IF(ISNUMBER('FINANCIAL INPUTS'!$D$38),'FINANCIAL INPUTS'!$D$38,"N/M")</f>
        <v>191000</v>
      </c>
      <c r="E54" s="50">
        <f>IF(AND(ISNUMBER(C54),ISNUMBER(D54)),C54-D54,"N/M")</f>
        <v>22000</v>
      </c>
      <c r="F54" s="51" t="str">
        <f>IF(OR(NOT(ISNUMBER(C54)),NOT(ISNUMBER(D54)),D54=0),"—",IF((C54-D54)/ABS(D54)&gt;$C$8,"Improving",IF((C54-D54)/ABS(D54)&lt;-$C$8,"Declining","Relatively Stable")))</f>
        <v>Improving</v>
      </c>
      <c r="H54" s="26" t="s">
        <v>239</v>
      </c>
    </row>
    <row r="55" spans="2:8" ht="19.5" customHeight="1" x14ac:dyDescent="0.35">
      <c r="B55" s="48" t="s">
        <v>113</v>
      </c>
      <c r="C55" s="49">
        <f>IF(AND(ISNUMBER('FINANCIAL INPUTS'!$C$36),ISNUMBER('FINANCIAL INPUTS'!$C$37)),'FINANCIAL INPUTS'!$C$39,"N/M")</f>
        <v>213000</v>
      </c>
      <c r="D55" s="50">
        <f>IF(AND(ISNUMBER('FINANCIAL INPUTS'!$D$36),ISNUMBER('FINANCIAL INPUTS'!$D$37)),'FINANCIAL INPUTS'!$D$39,"N/M")</f>
        <v>191000</v>
      </c>
      <c r="E55" s="50">
        <f>IF(AND(ISNUMBER(C55),ISNUMBER(D55)),C55-D55,"N/M")</f>
        <v>22000</v>
      </c>
      <c r="F55" s="53"/>
      <c r="H55" s="26" t="s">
        <v>240</v>
      </c>
    </row>
    <row r="56" spans="2:8" ht="30" customHeight="1" x14ac:dyDescent="0.35">
      <c r="B56" s="48" t="s">
        <v>117</v>
      </c>
      <c r="C56" s="66" t="str">
        <f>'FINANCIAL INPUTS'!$C$41</f>
        <v>Reconciles</v>
      </c>
      <c r="D56" s="50" t="str">
        <f>'FINANCIAL INPUTS'!$D$41</f>
        <v>Reconciles</v>
      </c>
      <c r="E56" s="53"/>
      <c r="F56" s="53"/>
      <c r="H56" s="26" t="s">
        <v>241</v>
      </c>
    </row>
    <row r="57" spans="2:8" ht="18" customHeight="1" x14ac:dyDescent="0.35">
      <c r="B57" s="116" t="s">
        <v>242</v>
      </c>
      <c r="C57" s="116"/>
      <c r="D57" s="116"/>
      <c r="E57" s="116"/>
      <c r="F57" s="116"/>
      <c r="G57" s="116"/>
      <c r="H57" s="116"/>
    </row>
    <row r="58" spans="2:8" ht="13.5" customHeight="1" x14ac:dyDescent="0.35"/>
    <row r="59" spans="2:8" ht="19.5" customHeight="1" x14ac:dyDescent="0.35">
      <c r="B59" s="131" t="s">
        <v>243</v>
      </c>
      <c r="C59" s="131"/>
      <c r="D59" s="131"/>
      <c r="E59" s="131"/>
      <c r="F59" s="131"/>
    </row>
    <row r="60" spans="2:8" ht="18" customHeight="1" x14ac:dyDescent="0.35">
      <c r="B60" s="22" t="s">
        <v>59</v>
      </c>
      <c r="C60" s="23" t="s">
        <v>60</v>
      </c>
      <c r="D60" s="23" t="s">
        <v>61</v>
      </c>
    </row>
    <row r="61" spans="2:8" ht="16.5" customHeight="1" x14ac:dyDescent="0.35">
      <c r="B61" s="67" t="s">
        <v>72</v>
      </c>
      <c r="C61" s="68">
        <f>IF(ISNUMBER(C13),C13,"")</f>
        <v>1840000</v>
      </c>
      <c r="D61" s="68">
        <f>IF(ISNUMBER(D13),D13,"")</f>
        <v>1620000</v>
      </c>
    </row>
    <row r="62" spans="2:8" ht="16.5" customHeight="1" x14ac:dyDescent="0.35">
      <c r="B62" s="67" t="s">
        <v>76</v>
      </c>
      <c r="C62" s="68">
        <f>IF(ISNUMBER(C15),C15,"")</f>
        <v>956800</v>
      </c>
      <c r="D62" s="68">
        <f>IF(ISNUMBER(D15),D15,"")</f>
        <v>870750</v>
      </c>
    </row>
    <row r="63" spans="2:8" ht="16.5" customHeight="1" x14ac:dyDescent="0.35">
      <c r="B63" s="67" t="s">
        <v>80</v>
      </c>
      <c r="C63" s="68">
        <f>IF(ISNUMBER(C17),C17,"")</f>
        <v>118800</v>
      </c>
      <c r="D63" s="68">
        <f>IF(ISNUMBER(D17),D17,"")</f>
        <v>125750</v>
      </c>
    </row>
    <row r="65" spans="2:8" ht="16.5" customHeight="1" x14ac:dyDescent="0.35">
      <c r="B65" s="67" t="s">
        <v>244</v>
      </c>
      <c r="C65" s="69">
        <f>IF(ISNUMBER(C16),C16,"")</f>
        <v>0.52</v>
      </c>
      <c r="D65" s="69">
        <f>IF(ISNUMBER(D16),D16,"")</f>
        <v>0.53749999999999998</v>
      </c>
    </row>
    <row r="66" spans="2:8" ht="16.5" customHeight="1" x14ac:dyDescent="0.35">
      <c r="B66" s="67" t="s">
        <v>245</v>
      </c>
      <c r="C66" s="69">
        <f>IF(ISNUMBER(C18),C18,"")</f>
        <v>6.4565217391304344E-2</v>
      </c>
      <c r="D66" s="69">
        <f>IF(ISNUMBER(D18),D18,"")</f>
        <v>7.762345679012346E-2</v>
      </c>
    </row>
    <row r="67" spans="2:8" ht="16.5" customHeight="1" x14ac:dyDescent="0.35">
      <c r="B67" s="67" t="s">
        <v>246</v>
      </c>
      <c r="C67" s="69">
        <f>IF(ISNUMBER(C20),C20,"")</f>
        <v>4.4565217391304347E-2</v>
      </c>
      <c r="D67" s="69">
        <f>IF(ISNUMBER(D20),D20,"")</f>
        <v>5.4629629629629632E-2</v>
      </c>
    </row>
    <row r="69" spans="2:8" ht="16.5" customHeight="1" x14ac:dyDescent="0.35">
      <c r="B69" s="67" t="s">
        <v>84</v>
      </c>
      <c r="C69" s="68">
        <f>IF(ISNUMBER(C19),C19,"")</f>
        <v>82000</v>
      </c>
      <c r="D69" s="68">
        <f>IF(ISNUMBER(D19),D19,"")</f>
        <v>88500</v>
      </c>
    </row>
    <row r="70" spans="2:8" ht="16.5" customHeight="1" x14ac:dyDescent="0.35">
      <c r="B70" s="67" t="s">
        <v>200</v>
      </c>
      <c r="C70" s="68">
        <f>IF(ISNUMBER(C24),C24,"")</f>
        <v>61000</v>
      </c>
      <c r="D70" s="68">
        <f>IF(ISNUMBER(D24),D24,"")</f>
        <v>104000</v>
      </c>
    </row>
    <row r="71" spans="2:8" ht="16.5" customHeight="1" x14ac:dyDescent="0.35">
      <c r="B71" s="67" t="s">
        <v>207</v>
      </c>
      <c r="C71" s="68">
        <f>IF(ISNUMBER(C28),C28,"")</f>
        <v>19000</v>
      </c>
      <c r="D71" s="68">
        <f>IF(ISNUMBER(D28),D28,"")</f>
        <v>78000</v>
      </c>
    </row>
    <row r="73" spans="2:8" ht="16.5" customHeight="1" x14ac:dyDescent="0.35">
      <c r="B73" s="67" t="s">
        <v>87</v>
      </c>
      <c r="C73" s="68">
        <f>IF(ISNUMBER(C48),C48,"")</f>
        <v>163000</v>
      </c>
      <c r="D73" s="68">
        <f>IF(ISNUMBER(D48),D48,"")</f>
        <v>132000</v>
      </c>
    </row>
    <row r="74" spans="2:8" ht="16.5" customHeight="1" x14ac:dyDescent="0.35">
      <c r="B74" s="67" t="s">
        <v>89</v>
      </c>
      <c r="C74" s="68">
        <f>IF(ISNUMBER(C40),C40,"")</f>
        <v>322000</v>
      </c>
      <c r="D74" s="68">
        <f>IF(ISNUMBER(D40),D40,"")</f>
        <v>248000</v>
      </c>
    </row>
    <row r="75" spans="2:8" ht="16.5" customHeight="1" x14ac:dyDescent="0.35">
      <c r="B75" s="67" t="s">
        <v>97</v>
      </c>
      <c r="C75" s="68">
        <f>IF(ISNUMBER('FINANCIAL INPUTS'!$C$30),'FINANCIAL INPUTS'!$C$30,"")</f>
        <v>138000</v>
      </c>
      <c r="D75" s="68">
        <f>IF(ISNUMBER('FINANCIAL INPUTS'!$D$30),'FINANCIAL INPUTS'!$D$30,"")</f>
        <v>121000</v>
      </c>
    </row>
    <row r="76" spans="2:8" ht="16.5" customHeight="1" x14ac:dyDescent="0.35">
      <c r="B76" s="67" t="s">
        <v>107</v>
      </c>
      <c r="C76" s="68">
        <f>IF(ISNUMBER(C51),C51,"")</f>
        <v>320000</v>
      </c>
      <c r="D76" s="68">
        <f>IF(ISNUMBER(D51),D51,"")</f>
        <v>248000</v>
      </c>
    </row>
    <row r="79" spans="2:8" ht="18" customHeight="1" x14ac:dyDescent="0.35">
      <c r="B79" s="118" t="s">
        <v>247</v>
      </c>
      <c r="C79" s="118"/>
      <c r="D79" s="118"/>
      <c r="E79" s="118"/>
      <c r="F79" s="118"/>
      <c r="G79" s="118"/>
      <c r="H79" s="118"/>
    </row>
  </sheetData>
  <sheetProtection sheet="1" formatCells="0" sort="0" autoFilter="0"/>
  <mergeCells count="15">
    <mergeCell ref="B44:H44"/>
    <mergeCell ref="B46:F46"/>
    <mergeCell ref="B57:H57"/>
    <mergeCell ref="B59:F59"/>
    <mergeCell ref="B79:H79"/>
    <mergeCell ref="B9:H9"/>
    <mergeCell ref="B11:F11"/>
    <mergeCell ref="B22:F22"/>
    <mergeCell ref="B32:H32"/>
    <mergeCell ref="B34:F34"/>
    <mergeCell ref="A1:H1"/>
    <mergeCell ref="A2:E2"/>
    <mergeCell ref="F2:H2"/>
    <mergeCell ref="A3:H3"/>
    <mergeCell ref="B5:F5"/>
  </mergeCell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64"/>
  <sheetViews>
    <sheetView showGridLines="0" zoomScaleNormal="100" workbookViewId="0">
      <pane ySplit="4" topLeftCell="A5" activePane="bottomLeft" state="frozen"/>
      <selection pane="bottomLeft" sqref="A1:G1"/>
    </sheetView>
  </sheetViews>
  <sheetFormatPr defaultColWidth="8.6328125" defaultRowHeight="14.5" x14ac:dyDescent="0.35"/>
  <cols>
    <col min="1" max="1" width="3" customWidth="1"/>
    <col min="2" max="2" width="54" customWidth="1"/>
    <col min="3" max="3" width="20" customWidth="1"/>
    <col min="4" max="5" width="14" customWidth="1"/>
    <col min="6" max="6" width="3" customWidth="1"/>
    <col min="7" max="7" width="56" customWidth="1"/>
  </cols>
  <sheetData>
    <row r="1" spans="1:7" ht="13.5" customHeight="1" x14ac:dyDescent="0.35">
      <c r="A1" s="126" t="s">
        <v>0</v>
      </c>
      <c r="B1" s="126"/>
      <c r="C1" s="126"/>
      <c r="D1" s="126"/>
      <c r="E1" s="126"/>
      <c r="F1" s="126"/>
      <c r="G1" s="126"/>
    </row>
    <row r="2" spans="1:7" ht="25.5" customHeight="1" x14ac:dyDescent="0.35">
      <c r="A2" s="127" t="s">
        <v>248</v>
      </c>
      <c r="B2" s="127"/>
      <c r="C2" s="127"/>
      <c r="D2" s="127"/>
      <c r="E2" s="128" t="s">
        <v>174</v>
      </c>
      <c r="F2" s="128"/>
      <c r="G2" s="128"/>
    </row>
    <row r="3" spans="1:7" ht="15.75" customHeight="1" x14ac:dyDescent="0.35">
      <c r="A3" s="129" t="s">
        <v>249</v>
      </c>
      <c r="B3" s="129"/>
      <c r="C3" s="129"/>
      <c r="D3" s="129"/>
      <c r="E3" s="129"/>
      <c r="F3" s="129"/>
      <c r="G3" s="129"/>
    </row>
    <row r="4" spans="1:7" ht="7.5" customHeight="1" x14ac:dyDescent="0.35"/>
    <row r="5" spans="1:7" ht="19.5" customHeight="1" x14ac:dyDescent="0.35">
      <c r="B5" s="114" t="s">
        <v>250</v>
      </c>
      <c r="C5" s="114"/>
      <c r="D5" s="114"/>
      <c r="E5" s="114"/>
    </row>
    <row r="6" spans="1:7" ht="18" customHeight="1" x14ac:dyDescent="0.35">
      <c r="B6" s="22" t="s">
        <v>251</v>
      </c>
      <c r="C6" s="37" t="s">
        <v>252</v>
      </c>
    </row>
    <row r="7" spans="1:7" ht="21.75" customHeight="1" x14ac:dyDescent="0.35">
      <c r="B7" s="70" t="s">
        <v>253</v>
      </c>
      <c r="C7" s="71">
        <f>COUNTIF($C$14:$C$18,"Positive Trend")</f>
        <v>1</v>
      </c>
    </row>
    <row r="8" spans="1:7" ht="21.75" customHeight="1" x14ac:dyDescent="0.35">
      <c r="B8" s="70" t="s">
        <v>254</v>
      </c>
      <c r="C8" s="71">
        <f>COUNTIF($C$14:$C$18,"Monitor")</f>
        <v>3</v>
      </c>
    </row>
    <row r="9" spans="1:7" ht="21.75" customHeight="1" x14ac:dyDescent="0.35">
      <c r="B9" s="70" t="s">
        <v>255</v>
      </c>
      <c r="C9" s="71">
        <f>COUNTIF($C$14:$C$18,"Needs Attention")</f>
        <v>1</v>
      </c>
    </row>
    <row r="10" spans="1:7" ht="21.75" customHeight="1" x14ac:dyDescent="0.35">
      <c r="B10" s="70" t="s">
        <v>256</v>
      </c>
      <c r="C10" s="71">
        <f>COUNTIF($C$14:$C$18,"Insufficient Information")</f>
        <v>0</v>
      </c>
    </row>
    <row r="11" spans="1:7" ht="18" customHeight="1" x14ac:dyDescent="0.35">
      <c r="B11" s="116" t="s">
        <v>257</v>
      </c>
      <c r="C11" s="116"/>
      <c r="D11" s="116"/>
      <c r="E11" s="116"/>
      <c r="F11" s="116"/>
      <c r="G11" s="116"/>
    </row>
    <row r="12" spans="1:7" ht="19.5" customHeight="1" x14ac:dyDescent="0.35">
      <c r="B12" s="114" t="s">
        <v>258</v>
      </c>
      <c r="C12" s="114"/>
      <c r="D12" s="114"/>
      <c r="E12" s="114"/>
    </row>
    <row r="13" spans="1:7" ht="18" customHeight="1" x14ac:dyDescent="0.35">
      <c r="B13" s="22" t="s">
        <v>259</v>
      </c>
      <c r="C13" s="37" t="s">
        <v>260</v>
      </c>
      <c r="D13" s="37" t="s">
        <v>261</v>
      </c>
      <c r="E13" s="37" t="s">
        <v>262</v>
      </c>
    </row>
    <row r="14" spans="1:7" ht="21.75" customHeight="1" x14ac:dyDescent="0.35">
      <c r="B14" s="72" t="s">
        <v>7</v>
      </c>
      <c r="C14" s="73" t="str">
        <f>IFERROR(IF(E14&lt;3,"Insufficient Information",IF(D14&gt;=3,"Positive Trend",IF(D14&gt;=0,"Monitor","Needs Attention"))),"Insufficient Information")</f>
        <v>Monitor</v>
      </c>
      <c r="D14" s="74">
        <f>D33</f>
        <v>1</v>
      </c>
      <c r="E14" s="75">
        <f>E33</f>
        <v>5</v>
      </c>
    </row>
    <row r="15" spans="1:7" ht="21.75" customHeight="1" x14ac:dyDescent="0.35">
      <c r="B15" s="72" t="s">
        <v>263</v>
      </c>
      <c r="C15" s="73" t="str">
        <f>IFERROR(IF(E15&lt;3,"Insufficient Information",IF(D15&gt;=3,"Positive Trend",IF(D15&gt;=0,"Monitor","Needs Attention"))),"Insufficient Information")</f>
        <v>Needs Attention</v>
      </c>
      <c r="D15" s="74">
        <f>D41</f>
        <v>-1</v>
      </c>
      <c r="E15" s="75">
        <f>E41</f>
        <v>5</v>
      </c>
    </row>
    <row r="16" spans="1:7" ht="21.75" customHeight="1" x14ac:dyDescent="0.35">
      <c r="B16" s="72" t="s">
        <v>264</v>
      </c>
      <c r="C16" s="73" t="str">
        <f>IFERROR(IF(E16&lt;3,"Insufficient Information",IF(D16&gt;=3,"Positive Trend",IF(D16&gt;=0,"Monitor","Needs Attention"))),"Insufficient Information")</f>
        <v>Monitor</v>
      </c>
      <c r="D16" s="74">
        <f>D49</f>
        <v>2</v>
      </c>
      <c r="E16" s="75">
        <f>E49</f>
        <v>5</v>
      </c>
    </row>
    <row r="17" spans="2:7" ht="21.75" customHeight="1" x14ac:dyDescent="0.35">
      <c r="B17" s="72" t="s">
        <v>265</v>
      </c>
      <c r="C17" s="73" t="str">
        <f>IFERROR(IF(E17&lt;3,"Insufficient Information",IF(D17&gt;=3,"Positive Trend",IF(D17&gt;=0,"Monitor","Needs Attention"))),"Insufficient Information")</f>
        <v>Positive Trend</v>
      </c>
      <c r="D17" s="74">
        <f>D57</f>
        <v>3</v>
      </c>
      <c r="E17" s="75">
        <f>E57</f>
        <v>5</v>
      </c>
    </row>
    <row r="18" spans="2:7" ht="21.75" customHeight="1" x14ac:dyDescent="0.35">
      <c r="B18" s="72" t="s">
        <v>266</v>
      </c>
      <c r="C18" s="73" t="str">
        <f>IFERROR(IF('OWNER ASSESSMENT'!$E$22&lt;12,"Insufficient Information",IF('OWNER ASSESSMENT'!$E$25&gt;=0.75,"Positive Trend",IF('OWNER ASSESSMENT'!$E$25&gt;=0.5,"Monitor","Needs Attention"))),"Insufficient Information")</f>
        <v>Monitor</v>
      </c>
      <c r="D18" s="76">
        <f>'OWNER ASSESSMENT'!$E$25</f>
        <v>0.61111111111111116</v>
      </c>
      <c r="E18" s="77">
        <f>'OWNER ASSESSMENT'!$E$22</f>
        <v>12</v>
      </c>
    </row>
    <row r="20" spans="2:7" ht="18" customHeight="1" x14ac:dyDescent="0.35">
      <c r="B20" s="115" t="s">
        <v>267</v>
      </c>
      <c r="C20" s="115"/>
      <c r="D20" s="115"/>
      <c r="E20" s="115"/>
      <c r="F20" s="115"/>
      <c r="G20" s="115"/>
    </row>
    <row r="21" spans="2:7" ht="18" customHeight="1" x14ac:dyDescent="0.35">
      <c r="B21" s="116" t="s">
        <v>268</v>
      </c>
      <c r="C21" s="116"/>
      <c r="D21" s="116"/>
      <c r="E21" s="116"/>
      <c r="F21" s="116"/>
      <c r="G21" s="116"/>
    </row>
    <row r="22" spans="2:7" ht="18" customHeight="1" x14ac:dyDescent="0.35">
      <c r="B22" s="116" t="s">
        <v>269</v>
      </c>
      <c r="C22" s="116"/>
      <c r="D22" s="116"/>
      <c r="E22" s="116"/>
      <c r="F22" s="116"/>
      <c r="G22" s="116"/>
    </row>
    <row r="24" spans="2:7" ht="19.5" customHeight="1" x14ac:dyDescent="0.35">
      <c r="B24" s="131" t="s">
        <v>270</v>
      </c>
      <c r="C24" s="131"/>
      <c r="D24" s="131"/>
      <c r="E24" s="131"/>
    </row>
    <row r="25" spans="2:7" ht="42" customHeight="1" x14ac:dyDescent="0.35">
      <c r="B25" s="130" t="s">
        <v>271</v>
      </c>
      <c r="C25" s="130"/>
      <c r="D25" s="130"/>
      <c r="E25" s="130"/>
      <c r="F25" s="130"/>
      <c r="G25" s="130"/>
    </row>
    <row r="26" spans="2:7" ht="18" customHeight="1" x14ac:dyDescent="0.35">
      <c r="B26" s="22" t="s">
        <v>272</v>
      </c>
      <c r="C26" s="37" t="s">
        <v>178</v>
      </c>
      <c r="D26" s="37" t="s">
        <v>273</v>
      </c>
      <c r="E26" s="37" t="s">
        <v>274</v>
      </c>
    </row>
    <row r="27" spans="2:7" ht="16.5" customHeight="1" x14ac:dyDescent="0.35">
      <c r="B27" s="132" t="s">
        <v>184</v>
      </c>
      <c r="C27" s="132"/>
      <c r="D27" s="132"/>
      <c r="E27" s="132"/>
    </row>
    <row r="28" spans="2:7" ht="15.75" customHeight="1" x14ac:dyDescent="0.35">
      <c r="B28" s="78" t="s">
        <v>275</v>
      </c>
      <c r="C28" s="79">
        <f>IF($E$28=0,"N/M",('FINANCIAL INPUTS'!$C$15-'FINANCIAL INPUTS'!$D$15)/'FINANCIAL INPUTS'!$D$15)</f>
        <v>0.13580246913580246</v>
      </c>
      <c r="D28" s="80">
        <f>IF($E$28=0,0,IF('FINANCIAL INPUTS'!$C$15&gt;'FINANCIAL INPUTS'!$D$15,1,IF('FINANCIAL INPUTS'!$C$15&lt;'FINANCIAL INPUTS'!$D$15,-1,0)))</f>
        <v>1</v>
      </c>
      <c r="E28" s="81">
        <f>IF(AND(ISNUMBER('FINANCIAL INPUTS'!$C$15),ISNUMBER('FINANCIAL INPUTS'!$D$15),'FINANCIAL INPUTS'!$D$15&lt;&gt;0),1,0)</f>
        <v>1</v>
      </c>
    </row>
    <row r="29" spans="2:7" ht="15.75" customHeight="1" x14ac:dyDescent="0.35">
      <c r="B29" s="78" t="s">
        <v>276</v>
      </c>
      <c r="C29" s="82">
        <f>IF($E$29=0,"N/M",'FINANCIAL ANALYSIS'!$E$16)</f>
        <v>-1.749999999999996</v>
      </c>
      <c r="D29" s="80">
        <f>IF($E$29=0,0,IF('FINANCIAL ANALYSIS'!$E$16&gt;'FINANCIAL ANALYSIS'!$C$7,1,IF('FINANCIAL ANALYSIS'!$E$16&lt;-'FINANCIAL ANALYSIS'!$C$7,-1,0)))</f>
        <v>-1</v>
      </c>
      <c r="E29" s="81">
        <f>IF(AND(COUNT('FINANCIAL INPUTS'!$C$15:$C$16)=2,COUNT('FINANCIAL INPUTS'!$D$15:$D$16)=2,'FINANCIAL INPUTS'!$C$15&lt;&gt;0,'FINANCIAL INPUTS'!$D$15&lt;&gt;0),1,0)</f>
        <v>1</v>
      </c>
    </row>
    <row r="30" spans="2:7" ht="15.75" customHeight="1" x14ac:dyDescent="0.35">
      <c r="B30" s="78" t="s">
        <v>277</v>
      </c>
      <c r="C30" s="83">
        <f>IF($E$30=0,"N/M",'FINANCIAL INPUTS'!$C$19)</f>
        <v>118800</v>
      </c>
      <c r="D30" s="80">
        <f>IF($E$30=0,0,IF('FINANCIAL INPUTS'!$C$19&gt;0,1,-1))</f>
        <v>1</v>
      </c>
      <c r="E30" s="81">
        <f>IF(AND(COUNT('FINANCIAL INPUTS'!$C$15:$C$16)=2,ISNUMBER('FINANCIAL INPUTS'!$C$18)),1,0)</f>
        <v>1</v>
      </c>
    </row>
    <row r="31" spans="2:7" ht="15.75" customHeight="1" x14ac:dyDescent="0.35">
      <c r="B31" s="78" t="s">
        <v>278</v>
      </c>
      <c r="C31" s="82">
        <f>IF($E$31=0,"N/M",'FINANCIAL ANALYSIS'!$E$18)</f>
        <v>-1.3058239398819116</v>
      </c>
      <c r="D31" s="80">
        <f>IF($E$31=0,0,IF('FINANCIAL ANALYSIS'!$E$18&gt;'FINANCIAL ANALYSIS'!$C$7,1,IF('FINANCIAL ANALYSIS'!$E$18&lt;-'FINANCIAL ANALYSIS'!$C$7,-1,0)))</f>
        <v>-1</v>
      </c>
      <c r="E31" s="81">
        <f>IF(AND(AND(COUNT('FINANCIAL INPUTS'!$C$15:$C$16)=2,COUNT('FINANCIAL INPUTS'!$D$15:$D$16)=2,'FINANCIAL INPUTS'!$C$15&lt;&gt;0,'FINANCIAL INPUTS'!$D$15&lt;&gt;0),ISNUMBER('FINANCIAL INPUTS'!$C$18),ISNUMBER('FINANCIAL INPUTS'!$D$18)),1,0)</f>
        <v>1</v>
      </c>
    </row>
    <row r="32" spans="2:7" ht="15.75" customHeight="1" x14ac:dyDescent="0.35">
      <c r="B32" s="78" t="s">
        <v>279</v>
      </c>
      <c r="C32" s="83">
        <f>IF($E$32=0,"N/M",'FINANCIAL INPUTS'!$C$21)</f>
        <v>82000</v>
      </c>
      <c r="D32" s="80">
        <f>IF($E$32=0,0,IF('FINANCIAL INPUTS'!$C$21&gt;0,1,-1))</f>
        <v>1</v>
      </c>
      <c r="E32" s="81">
        <f>IF(ISNUMBER('FINANCIAL INPUTS'!$C$21),1,0)</f>
        <v>1</v>
      </c>
    </row>
    <row r="33" spans="2:5" ht="18" customHeight="1" x14ac:dyDescent="0.35">
      <c r="B33" s="84" t="s">
        <v>280</v>
      </c>
      <c r="C33" s="85"/>
      <c r="D33" s="86">
        <f>SUM(D28:D32)</f>
        <v>1</v>
      </c>
      <c r="E33" s="87">
        <f>SUM(E28:E32)</f>
        <v>5</v>
      </c>
    </row>
    <row r="34" spans="2:5" ht="7.5" customHeight="1" x14ac:dyDescent="0.35"/>
    <row r="35" spans="2:5" ht="16.5" customHeight="1" x14ac:dyDescent="0.35">
      <c r="B35" s="132" t="s">
        <v>119</v>
      </c>
      <c r="C35" s="132"/>
      <c r="D35" s="132"/>
      <c r="E35" s="132"/>
    </row>
    <row r="36" spans="2:5" ht="15.75" customHeight="1" x14ac:dyDescent="0.35">
      <c r="B36" s="78" t="s">
        <v>281</v>
      </c>
      <c r="C36" s="83">
        <f>IF($E$36=0,"N/M",'FINANCIAL INPUTS'!$C$44)</f>
        <v>61000</v>
      </c>
      <c r="D36" s="80">
        <f>IF($E$36=0,0,IF('FINANCIAL INPUTS'!$C$44&gt;0,1,-1))</f>
        <v>1</v>
      </c>
      <c r="E36" s="81">
        <f>IF(ISNUMBER('FINANCIAL INPUTS'!$C$44),1,0)</f>
        <v>1</v>
      </c>
    </row>
    <row r="37" spans="2:5" ht="15.75" customHeight="1" x14ac:dyDescent="0.35">
      <c r="B37" s="78" t="s">
        <v>282</v>
      </c>
      <c r="C37" s="83">
        <f>IF($E$37=0,"N/M",'FINANCIAL ANALYSIS'!$C$28)</f>
        <v>19000</v>
      </c>
      <c r="D37" s="80">
        <f>IF($E$37=0,0,IF('FINANCIAL ANALYSIS'!$C$28&gt;0,1,-1))</f>
        <v>1</v>
      </c>
      <c r="E37" s="81">
        <f>IF(AND(ISNUMBER('FINANCIAL INPUTS'!$C$44),ISNUMBER('FINANCIAL INPUTS'!$C$45)),1,0)</f>
        <v>1</v>
      </c>
    </row>
    <row r="38" spans="2:5" ht="15.75" customHeight="1" x14ac:dyDescent="0.35">
      <c r="B38" s="78" t="s">
        <v>283</v>
      </c>
      <c r="C38" s="83">
        <f>IF($E$38=0,"N/M",'FINANCIAL ANALYSIS'!$E$24)</f>
        <v>-43000</v>
      </c>
      <c r="D38" s="80">
        <f>IFERROR(IF($E$38=0,0,IF(('FINANCIAL INPUTS'!$C$44-'FINANCIAL INPUTS'!$D$44)/ABS('FINANCIAL INPUTS'!$D$44)&gt;'FINANCIAL ANALYSIS'!$C$8,1,IF(('FINANCIAL INPUTS'!$C$44-'FINANCIAL INPUTS'!$D$44)/ABS('FINANCIAL INPUTS'!$D$44)&lt;-'FINANCIAL ANALYSIS'!$C$8,-1,0))),0)</f>
        <v>-1</v>
      </c>
      <c r="E38" s="81">
        <f>IF(AND(ISNUMBER('FINANCIAL INPUTS'!$C$44),ISNUMBER('FINANCIAL INPUTS'!$D$44),'FINANCIAL INPUTS'!$D$44&lt;&gt;0),1,0)</f>
        <v>1</v>
      </c>
    </row>
    <row r="39" spans="2:5" ht="15.75" customHeight="1" x14ac:dyDescent="0.35">
      <c r="B39" s="78" t="s">
        <v>284</v>
      </c>
      <c r="C39" s="79">
        <f>IF($E$39=0,"N/M",'FINANCIAL INPUTS'!$C$44/'FINANCIAL INPUTS'!$C$21)</f>
        <v>0.74390243902439024</v>
      </c>
      <c r="D39" s="80">
        <f>IF($E$39=0,0,IF('FINANCIAL INPUTS'!$C$44&gt;='FINANCIAL INPUTS'!$C$21,1,-1))</f>
        <v>-1</v>
      </c>
      <c r="E39" s="81">
        <f>IF(AND(AND(ISNUMBER('FINANCIAL INPUTS'!$C$21),ISNUMBER('FINANCIAL INPUTS'!$C$44)),'FINANCIAL INPUTS'!$C$21&gt;0),1,0)</f>
        <v>1</v>
      </c>
    </row>
    <row r="40" spans="2:5" ht="15.75" customHeight="1" x14ac:dyDescent="0.35">
      <c r="B40" s="78" t="s">
        <v>285</v>
      </c>
      <c r="C40" s="83">
        <f>IF($E$40=0,"N/M",'FINANCIAL ANALYSIS'!$C$30)</f>
        <v>-41000</v>
      </c>
      <c r="D40" s="80">
        <f>IF($E$40=0,0,IF('FINANCIAL ANALYSIS'!$C$30&gt;0,1,-1))</f>
        <v>-1</v>
      </c>
      <c r="E40" s="81">
        <f>IF(AND(ISNUMBER('FINANCIAL INPUTS'!$C$44),ISNUMBER('FINANCIAL INPUTS'!$C$45),ISNUMBER('FINANCIAL INPUTS'!$C$46)),1,0)</f>
        <v>1</v>
      </c>
    </row>
    <row r="41" spans="2:5" ht="18" customHeight="1" x14ac:dyDescent="0.35">
      <c r="B41" s="84" t="s">
        <v>280</v>
      </c>
      <c r="C41" s="85"/>
      <c r="D41" s="86">
        <f>SUM(D36:D40)</f>
        <v>-1</v>
      </c>
      <c r="E41" s="87">
        <f>SUM(E36:E40)</f>
        <v>5</v>
      </c>
    </row>
    <row r="42" spans="2:5" ht="7.5" customHeight="1" x14ac:dyDescent="0.35"/>
    <row r="43" spans="2:5" ht="16.5" customHeight="1" x14ac:dyDescent="0.35">
      <c r="B43" s="132" t="s">
        <v>215</v>
      </c>
      <c r="C43" s="132"/>
      <c r="D43" s="132"/>
      <c r="E43" s="132"/>
    </row>
    <row r="44" spans="2:5" ht="15.75" customHeight="1" x14ac:dyDescent="0.35">
      <c r="B44" s="78" t="s">
        <v>286</v>
      </c>
      <c r="C44" s="83">
        <f>IF($E$44=0,"N/M",'FINANCIAL ANALYSIS'!$C$38)</f>
        <v>257000</v>
      </c>
      <c r="D44" s="80">
        <f>IF($E$44=0,0,IF('FINANCIAL ANALYSIS'!$C$38&gt;0,1,-1))</f>
        <v>1</v>
      </c>
      <c r="E44" s="81">
        <f>IF(AND(COUNT('FINANCIAL INPUTS'!$C$25:$C$28)=4,COUNT('FINANCIAL INPUTS'!$C$30:$C$32)=3),1,0)</f>
        <v>1</v>
      </c>
    </row>
    <row r="45" spans="2:5" ht="15.75" customHeight="1" x14ac:dyDescent="0.35">
      <c r="B45" s="78" t="s">
        <v>287</v>
      </c>
      <c r="C45" s="83">
        <f>IF($E$45=0,"N/M",'FINANCIAL ANALYSIS'!$E$38)</f>
        <v>78000</v>
      </c>
      <c r="D45" s="80">
        <f>IFERROR(IF($E$45=0,0,IF(('FINANCIAL ANALYSIS'!$C$38-'FINANCIAL ANALYSIS'!$D$38)/ABS('FINANCIAL ANALYSIS'!$D$38)&gt;'FINANCIAL ANALYSIS'!$C$8,1,IF(('FINANCIAL ANALYSIS'!$C$38-'FINANCIAL ANALYSIS'!$D$38)/ABS('FINANCIAL ANALYSIS'!$D$38)&lt;-'FINANCIAL ANALYSIS'!$C$8,-1,0))),0)</f>
        <v>1</v>
      </c>
      <c r="E45" s="81">
        <f>IF(AND(AND(COUNT('FINANCIAL INPUTS'!$C$25:$C$28)=4,COUNT('FINANCIAL INPUTS'!$C$30:$C$32)=3,COUNT('FINANCIAL INPUTS'!$D$25:$D$28)=4,COUNT('FINANCIAL INPUTS'!$D$30:$D$32)=3),'FINANCIAL ANALYSIS'!$D$38&lt;&gt;0),1,0)</f>
        <v>1</v>
      </c>
    </row>
    <row r="46" spans="2:5" ht="15.75" customHeight="1" x14ac:dyDescent="0.35">
      <c r="B46" s="78" t="s">
        <v>288</v>
      </c>
      <c r="C46" s="82">
        <f>IF($E$46=0,"N/M",'FINANCIAL ANALYSIS'!$E$41)</f>
        <v>2.1913580246913562</v>
      </c>
      <c r="D46" s="80">
        <f>IF($E$46=0,0,IF('FINANCIAL ANALYSIS'!$E$41&gt;'FINANCIAL ANALYSIS'!$C$7,-1,IF('FINANCIAL ANALYSIS'!$E$41&lt;-'FINANCIAL ANALYSIS'!$C$7,1,0)))</f>
        <v>-1</v>
      </c>
      <c r="E46" s="81">
        <f>IF(AND(ISNUMBER('FINANCIAL INPUTS'!$C$26),ISNUMBER('FINANCIAL INPUTS'!$D$26),ISNUMBER('FINANCIAL INPUTS'!$C$15),ISNUMBER('FINANCIAL INPUTS'!$D$15),'FINANCIAL INPUTS'!$C$15&lt;&gt;0,'FINANCIAL INPUTS'!$D$15&lt;&gt;0),1,0)</f>
        <v>1</v>
      </c>
    </row>
    <row r="47" spans="2:5" ht="15.75" customHeight="1" x14ac:dyDescent="0.35">
      <c r="B47" s="78" t="s">
        <v>289</v>
      </c>
      <c r="C47" s="82">
        <f>IF($E$47=0,"N/M",'FINANCIAL ANALYSIS'!$E$42)</f>
        <v>3.0864197530863779E-2</v>
      </c>
      <c r="D47" s="80">
        <f>IF($E$47=0,0,IF('FINANCIAL ANALYSIS'!$E$42&gt;'FINANCIAL ANALYSIS'!$C$7,-1,IF('FINANCIAL ANALYSIS'!$E$42&lt;-'FINANCIAL ANALYSIS'!$C$7,1,0)))</f>
        <v>0</v>
      </c>
      <c r="E47" s="81">
        <f>IF(AND(ISNUMBER('FINANCIAL INPUTS'!$C$30),ISNUMBER('FINANCIAL INPUTS'!$D$30),ISNUMBER('FINANCIAL INPUTS'!$C$15),ISNUMBER('FINANCIAL INPUTS'!$D$15),'FINANCIAL INPUTS'!$C$15&lt;&gt;0,'FINANCIAL INPUTS'!$D$15&lt;&gt;0),1,0)</f>
        <v>1</v>
      </c>
    </row>
    <row r="48" spans="2:5" ht="15.75" customHeight="1" x14ac:dyDescent="0.35">
      <c r="B48" s="78" t="s">
        <v>290</v>
      </c>
      <c r="C48" s="79">
        <f>IFERROR(IF($E$48=0,"N/M",('FINANCIAL INPUTS'!$C$29/'FINANCIAL INPUTS'!$D$29-1)-('FINANCIAL INPUTS'!$C$33/'FINANCIAL INPUTS'!$D$33-1)),"N/M")</f>
        <v>0.13213082569216694</v>
      </c>
      <c r="D48" s="80">
        <f>IFERROR(IF($E$48=0,0,IF(C48&gt;'FINANCIAL ANALYSIS'!$C$8,1,IF(C48&lt;-'FINANCIAL ANALYSIS'!$C$8,-1,0))),0)</f>
        <v>1</v>
      </c>
      <c r="E48" s="81">
        <f>IF(AND(AND(COUNT('FINANCIAL INPUTS'!$C$25:$C$28)=4,COUNT('FINANCIAL INPUTS'!$C$30:$C$32)=3,COUNT('FINANCIAL INPUTS'!$D$25:$D$28)=4,COUNT('FINANCIAL INPUTS'!$D$30:$D$32)=3),'FINANCIAL INPUTS'!$D$29&lt;&gt;0,'FINANCIAL INPUTS'!$D$33&lt;&gt;0),1,0)</f>
        <v>1</v>
      </c>
    </row>
    <row r="49" spans="2:7" ht="18" customHeight="1" x14ac:dyDescent="0.35">
      <c r="B49" s="84" t="s">
        <v>280</v>
      </c>
      <c r="C49" s="85"/>
      <c r="D49" s="86">
        <f>SUM(D44:D48)</f>
        <v>2</v>
      </c>
      <c r="E49" s="87">
        <f>SUM(E44:E48)</f>
        <v>5</v>
      </c>
    </row>
    <row r="50" spans="2:7" ht="7.5" customHeight="1" x14ac:dyDescent="0.35"/>
    <row r="51" spans="2:7" ht="16.5" customHeight="1" x14ac:dyDescent="0.35">
      <c r="B51" s="132" t="s">
        <v>228</v>
      </c>
      <c r="C51" s="132"/>
      <c r="D51" s="132"/>
      <c r="E51" s="132"/>
    </row>
    <row r="52" spans="2:7" ht="15.75" customHeight="1" x14ac:dyDescent="0.35">
      <c r="B52" s="78" t="s">
        <v>291</v>
      </c>
      <c r="C52" s="83">
        <f>IF($E$52=0,"N/M",'FINANCIAL ANALYSIS'!$C$50)</f>
        <v>43000</v>
      </c>
      <c r="D52" s="80">
        <f>IF($E$52=0,0,IF('FINANCIAL ANALYSIS'!$C$50&gt;=0,1,-1))</f>
        <v>1</v>
      </c>
      <c r="E52" s="81">
        <f>IF(AND(ISNUMBER('FINANCIAL INPUTS'!$C$25),ISNUMBER('FINANCIAL INPUTS'!$C$54)),1,0)</f>
        <v>1</v>
      </c>
    </row>
    <row r="53" spans="2:7" ht="15.75" customHeight="1" x14ac:dyDescent="0.35">
      <c r="B53" s="78" t="s">
        <v>292</v>
      </c>
      <c r="C53" s="88">
        <f>IFERROR(IF($E$53=0,"N/M",'FINANCIAL INPUTS'!$C$25/'FINANCIAL INPUTS'!$C$53-'FINANCIAL INPUTS'!$D$25/'FINANCIAL INPUTS'!$D$53),"N/M")</f>
        <v>0.19953917050691272</v>
      </c>
      <c r="D53" s="80">
        <f>IFERROR(IF($E$53=0,0,IF(('FINANCIAL INPUTS'!$C$25/'FINANCIAL INPUTS'!$C$53-'FINANCIAL INPUTS'!$D$25/'FINANCIAL INPUTS'!$D$53)/('FINANCIAL INPUTS'!$D$25/'FINANCIAL INPUTS'!$D$53)&gt;'FINANCIAL ANALYSIS'!$C$8,1,IF(('FINANCIAL INPUTS'!$C$25/'FINANCIAL INPUTS'!$C$53-'FINANCIAL INPUTS'!$D$25/'FINANCIAL INPUTS'!$D$53)/('FINANCIAL INPUTS'!$D$25/'FINANCIAL INPUTS'!$D$53)&lt;-'FINANCIAL ANALYSIS'!$C$8,-1,0))),0)</f>
        <v>1</v>
      </c>
      <c r="E53" s="81">
        <f>IF(AND(ISNUMBER('FINANCIAL INPUTS'!$C$25),ISNUMBER('FINANCIAL INPUTS'!$D$25),ISNUMBER('FINANCIAL INPUTS'!$C$53),ISNUMBER('FINANCIAL INPUTS'!$D$53),'FINANCIAL INPUTS'!$C$53&gt;0,'FINANCIAL INPUTS'!$D$53&gt;0,'FINANCIAL INPUTS'!$D$25&lt;&gt;0),1,0)</f>
        <v>1</v>
      </c>
    </row>
    <row r="54" spans="2:7" ht="15.75" customHeight="1" x14ac:dyDescent="0.35">
      <c r="B54" s="78" t="s">
        <v>293</v>
      </c>
      <c r="C54" s="89">
        <f>IFERROR(IF($E$54=0,"N/M",('FINANCIAL INPUTS'!$C$35/'FINANCIAL INPUTS'!$C$36-'FINANCIAL INPUTS'!$D$35/'FINANCIAL INPUTS'!$D$36)),"N/M")</f>
        <v>3.40796512779869E-2</v>
      </c>
      <c r="D54" s="80">
        <f>IFERROR(IF($E$54=0,0,IF(('FINANCIAL INPUTS'!$C$35/'FINANCIAL INPUTS'!$C$36-'FINANCIAL INPUTS'!$D$35/'FINANCIAL INPUTS'!$D$36)&gt;'FINANCIAL ANALYSIS'!$C$8,-1,IF(('FINANCIAL INPUTS'!$C$35/'FINANCIAL INPUTS'!$C$36-'FINANCIAL INPUTS'!$D$35/'FINANCIAL INPUTS'!$D$36)&lt;-'FINANCIAL ANALYSIS'!$C$8,1,0))),0)</f>
        <v>-1</v>
      </c>
      <c r="E54" s="81">
        <f>IF(AND(ISNUMBER('FINANCIAL INPUTS'!$C$32),ISNUMBER('FINANCIAL INPUTS'!$C$34),ISNUMBER('FINANCIAL INPUTS'!$D$32),ISNUMBER('FINANCIAL INPUTS'!$D$34),ISNUMBER('FINANCIAL INPUTS'!$C$36),ISNUMBER('FINANCIAL INPUTS'!$D$36),'FINANCIAL INPUTS'!$C$36&lt;&gt;0,'FINANCIAL INPUTS'!$D$36&lt;&gt;0),1,0)</f>
        <v>1</v>
      </c>
    </row>
    <row r="55" spans="2:7" ht="15.75" customHeight="1" x14ac:dyDescent="0.35">
      <c r="B55" s="78" t="s">
        <v>294</v>
      </c>
      <c r="C55" s="90">
        <f>IFERROR(IF($E$55=0,"N/M",IF('FINANCIAL INPUTS'!$C$20&lt;=0,"n/a",'FINANCIAL INPUTS'!$C$19/'FINANCIAL INPUTS'!$C$20)),"N/M")</f>
        <v>6.4565217391304346</v>
      </c>
      <c r="D55" s="80">
        <f>IFERROR(IF($E$55=0,0,IF('FINANCIAL INPUTS'!$C$20&lt;=0,1,IF('FINANCIAL INPUTS'!$C$19/'FINANCIAL INPUTS'!$C$20&gt;=1,1,-1))),0)</f>
        <v>1</v>
      </c>
      <c r="E55" s="81">
        <f>IF(AND(AND(COUNT('FINANCIAL INPUTS'!$C$15:$C$16)=2,ISNUMBER('FINANCIAL INPUTS'!$C$18)),ISNUMBER('FINANCIAL INPUTS'!$C$20)),1,0)</f>
        <v>1</v>
      </c>
    </row>
    <row r="56" spans="2:7" ht="15.75" customHeight="1" x14ac:dyDescent="0.35">
      <c r="B56" s="78" t="s">
        <v>295</v>
      </c>
      <c r="C56" s="83">
        <f>IF($E$56=0,"N/M",'FINANCIAL INPUTS'!$C$38)</f>
        <v>213000</v>
      </c>
      <c r="D56" s="80">
        <f>IF($E$56=0,0,IF('FINANCIAL INPUTS'!$C$38&gt;0,1,-1))</f>
        <v>1</v>
      </c>
      <c r="E56" s="81">
        <f>IF(ISNUMBER('FINANCIAL INPUTS'!$C$38),1,0)</f>
        <v>1</v>
      </c>
    </row>
    <row r="57" spans="2:7" ht="18" customHeight="1" x14ac:dyDescent="0.35">
      <c r="B57" s="84" t="s">
        <v>280</v>
      </c>
      <c r="C57" s="85"/>
      <c r="D57" s="86">
        <f>SUM(D52:D56)</f>
        <v>3</v>
      </c>
      <c r="E57" s="87">
        <f>SUM(E52:E56)</f>
        <v>5</v>
      </c>
    </row>
    <row r="58" spans="2:7" ht="7.5" customHeight="1" x14ac:dyDescent="0.35"/>
    <row r="59" spans="2:7" ht="16.5" customHeight="1" x14ac:dyDescent="0.35">
      <c r="B59" s="125" t="s">
        <v>296</v>
      </c>
      <c r="C59" s="125"/>
      <c r="D59" s="125"/>
      <c r="E59" s="125"/>
      <c r="F59" s="125"/>
      <c r="G59" s="125"/>
    </row>
    <row r="60" spans="2:7" ht="16.5" customHeight="1" x14ac:dyDescent="0.35">
      <c r="B60" s="125"/>
      <c r="C60" s="125"/>
      <c r="D60" s="125"/>
      <c r="E60" s="125"/>
      <c r="F60" s="125"/>
      <c r="G60" s="125"/>
    </row>
    <row r="61" spans="2:7" ht="16.5" customHeight="1" x14ac:dyDescent="0.35">
      <c r="B61" s="125"/>
      <c r="C61" s="125"/>
      <c r="D61" s="125"/>
      <c r="E61" s="125"/>
      <c r="F61" s="125"/>
      <c r="G61" s="125"/>
    </row>
    <row r="62" spans="2:7" ht="16.5" customHeight="1" x14ac:dyDescent="0.35">
      <c r="B62" s="125"/>
      <c r="C62" s="125"/>
      <c r="D62" s="125"/>
      <c r="E62" s="125"/>
      <c r="F62" s="125"/>
      <c r="G62" s="125"/>
    </row>
    <row r="64" spans="2:7" ht="18" customHeight="1" x14ac:dyDescent="0.35">
      <c r="B64" s="118" t="s">
        <v>297</v>
      </c>
      <c r="C64" s="118"/>
      <c r="D64" s="118"/>
      <c r="E64" s="118"/>
      <c r="F64" s="118"/>
      <c r="G64" s="118"/>
    </row>
  </sheetData>
  <sheetProtection sheet="1" formatCells="0" sort="0" autoFilter="0"/>
  <mergeCells count="18">
    <mergeCell ref="B51:E51"/>
    <mergeCell ref="B59:G62"/>
    <mergeCell ref="B64:G64"/>
    <mergeCell ref="B24:E24"/>
    <mergeCell ref="B25:G25"/>
    <mergeCell ref="B27:E27"/>
    <mergeCell ref="B35:E35"/>
    <mergeCell ref="B43:E43"/>
    <mergeCell ref="B11:G11"/>
    <mergeCell ref="B12:E12"/>
    <mergeCell ref="B20:G20"/>
    <mergeCell ref="B21:G21"/>
    <mergeCell ref="B22:G22"/>
    <mergeCell ref="A1:G1"/>
    <mergeCell ref="A2:D2"/>
    <mergeCell ref="E2:G2"/>
    <mergeCell ref="A3:G3"/>
    <mergeCell ref="B5:E5"/>
  </mergeCells>
  <pageMargins left="0.75" right="0.75" top="1" bottom="1"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32"/>
  <sheetViews>
    <sheetView showGridLines="0" zoomScaleNormal="100" workbookViewId="0">
      <pane ySplit="4" topLeftCell="A5" activePane="bottomLeft" state="frozen"/>
      <selection pane="bottomLeft"/>
    </sheetView>
  </sheetViews>
  <sheetFormatPr defaultColWidth="8.6328125" defaultRowHeight="14.5" x14ac:dyDescent="0.35"/>
  <cols>
    <col min="1" max="1" width="3" customWidth="1"/>
    <col min="2" max="2" width="5" customWidth="1"/>
    <col min="3" max="3" width="34" customWidth="1"/>
    <col min="4" max="4" width="20" customWidth="1"/>
    <col min="5" max="5" width="3" customWidth="1"/>
    <col min="6" max="6" width="96" customWidth="1"/>
    <col min="7" max="7" width="3" customWidth="1"/>
  </cols>
  <sheetData>
    <row r="1" spans="1:7" ht="7.5" customHeight="1" x14ac:dyDescent="0.35">
      <c r="A1" s="15"/>
      <c r="B1" s="15"/>
      <c r="C1" s="15"/>
      <c r="D1" s="15"/>
      <c r="E1" s="15"/>
      <c r="F1" s="15"/>
      <c r="G1" s="15"/>
    </row>
    <row r="2" spans="1:7" ht="27.75" customHeight="1" x14ac:dyDescent="0.35">
      <c r="A2" s="15"/>
      <c r="B2" s="119" t="s">
        <v>298</v>
      </c>
      <c r="C2" s="119"/>
      <c r="D2" s="119"/>
      <c r="E2" s="119"/>
      <c r="F2" s="119"/>
      <c r="G2" s="15"/>
    </row>
    <row r="3" spans="1:7" ht="18" customHeight="1" x14ac:dyDescent="0.35">
      <c r="A3" s="15"/>
      <c r="B3" s="120" t="s">
        <v>299</v>
      </c>
      <c r="C3" s="120"/>
      <c r="D3" s="120"/>
      <c r="E3" s="120"/>
      <c r="F3" s="120"/>
      <c r="G3" s="15"/>
    </row>
    <row r="4" spans="1:7" ht="7.5" customHeight="1" x14ac:dyDescent="0.35">
      <c r="A4" s="15"/>
      <c r="B4" s="15"/>
      <c r="C4" s="15"/>
      <c r="D4" s="15"/>
      <c r="E4" s="15"/>
      <c r="F4" s="15"/>
      <c r="G4" s="15"/>
    </row>
    <row r="5" spans="1:7" ht="9.75" customHeight="1" x14ac:dyDescent="0.35"/>
    <row r="6" spans="1:7" ht="21.75" customHeight="1" x14ac:dyDescent="0.35">
      <c r="B6" s="133" t="str">
        <f>IFERROR(COUNTIF($D$9:$D$16,"Review")&amp;" of 8 areas below are flagged for review based on the figures entered.  Each is a question to investigate, not a conclusion.","")</f>
        <v>5 of 8 areas below are flagged for review based on the figures entered.  Each is a question to investigate, not a conclusion.</v>
      </c>
      <c r="C6" s="133"/>
      <c r="D6" s="133"/>
      <c r="E6" s="133"/>
      <c r="F6" s="133"/>
    </row>
    <row r="7" spans="1:7" ht="19.5" customHeight="1" x14ac:dyDescent="0.35">
      <c r="B7" s="114" t="s">
        <v>300</v>
      </c>
      <c r="C7" s="114"/>
      <c r="D7" s="114"/>
      <c r="E7" s="114"/>
      <c r="F7" s="114"/>
    </row>
    <row r="8" spans="1:7" ht="18" customHeight="1" x14ac:dyDescent="0.35">
      <c r="B8" s="37" t="s">
        <v>145</v>
      </c>
      <c r="C8" s="22" t="s">
        <v>259</v>
      </c>
      <c r="D8" s="37" t="s">
        <v>260</v>
      </c>
      <c r="F8" s="22" t="s">
        <v>301</v>
      </c>
    </row>
    <row r="9" spans="1:7" ht="43.5" customHeight="1" x14ac:dyDescent="0.35">
      <c r="B9" s="91">
        <v>1</v>
      </c>
      <c r="C9" s="92" t="s">
        <v>244</v>
      </c>
      <c r="D9" s="93" t="str">
        <f>IFERROR(IF(NOT(AND(COUNT('FINANCIAL INPUTS'!$C$15:$C$16)=2,COUNT('FINANCIAL INPUTS'!$D$15:$D$16)=2,'FINANCIAL INPUTS'!$C$15&lt;&gt;0,'FINANCIAL INPUTS'!$D$15&lt;&gt;0)),"—",IF('FINANCIAL ANALYSIS'!$E$16&lt;-'FINANCIAL ANALYSIS'!$C$7,"Review","—")),"—")</f>
        <v>Review</v>
      </c>
      <c r="F9" s="94" t="str">
        <f>IFERROR(IF(NOT(AND(COUNT('FINANCIAL INPUTS'!$C$15:$C$16)=2,COUNT('FINANCIAL INPUTS'!$D$15:$D$16)=2,'FINANCIAL INPUTS'!$C$15&lt;&gt;0,'FINANCIAL INPUTS'!$D$15&lt;&gt;0)),"Insufficient information entered for this area.",IF('FINANCIAL ANALYSIS'!$E$16&lt;-'FINANCIAL ANALYSIS'!$C$7,"Gross margin declined by "&amp;TEXT(ABS('FINANCIAL ANALYSIS'!$E$16),"0.0")&amp;" percentage points compared with the prior period, from "&amp;TEXT('FINANCIAL ANALYSIS'!$D$16,"0.0%")&amp;" to "&amp;TEXT('FINANCIAL ANALYSIS'!$C$16,"0.0%")&amp;". Review whether pricing, service or product mix, labour costs, supplier costs, or other direct costs contributed to the change.","Not flagged based on the figures entered for this period.")),"")</f>
        <v>Gross margin declined by 1.8 percentage points compared with the prior period, from 53.8% to 52.0%. Review whether pricing, service or product mix, labour costs, supplier costs, or other direct costs contributed to the change.</v>
      </c>
    </row>
    <row r="10" spans="1:7" ht="43.5" customHeight="1" x14ac:dyDescent="0.35">
      <c r="B10" s="91">
        <v>2</v>
      </c>
      <c r="C10" s="92" t="s">
        <v>302</v>
      </c>
      <c r="D10" s="93" t="str">
        <f>IFERROR(IF(NOT(AND(COUNT('FINANCIAL INPUTS'!$C$15:$C$16)=2,ISNUMBER('FINANCIAL INPUTS'!$C$18))),"—",IF('FINANCIAL INPUTS'!$C$19&lt;=0,"Review","—")),"—")</f>
        <v>—</v>
      </c>
      <c r="F10" s="94" t="str">
        <f>IFERROR(IF(NOT(AND(COUNT('FINANCIAL INPUTS'!$C$15:$C$16)=2,ISNUMBER('FINANCIAL INPUTS'!$C$18))),"Insufficient information entered for this area.",IF('FINANCIAL INPUTS'!$C$19&lt;=0,IF('FINANCIAL INPUTS'!$C$19=0,"Operating expenses currently absorb the full gross profit available to support them. Review the major operating cost categories alongside recent revenue trends.","Operating expenses currently exceed the gross profit available to support them by "&amp;TEXT(ABS('FINANCIAL INPUTS'!$C$19),"$#,##0")&amp;". Review the major operating cost categories alongside recent revenue trends."),"Not flagged based on the figures entered for this period.")),"")</f>
        <v>Not flagged based on the figures entered for this period.</v>
      </c>
    </row>
    <row r="11" spans="1:7" ht="43.5" customHeight="1" x14ac:dyDescent="0.35">
      <c r="B11" s="91">
        <v>3</v>
      </c>
      <c r="C11" s="92" t="s">
        <v>204</v>
      </c>
      <c r="D11" s="93" t="str">
        <f>IFERROR(IF(NOT(AND(ISNUMBER('FINANCIAL INPUTS'!$C$21),ISNUMBER('FINANCIAL INPUTS'!$C$44))),"—",IF(AND('FINANCIAL INPUTS'!$C$21&gt;0,'FINANCIAL INPUTS'!$C$44&lt;'FINANCIAL INPUTS'!$C$21),"Review","—")),"—")</f>
        <v>Review</v>
      </c>
      <c r="F11" s="94" t="str">
        <f>IFERROR(IF(NOT(AND(ISNUMBER('FINANCIAL INPUTS'!$C$21),ISNUMBER('FINANCIAL INPUTS'!$C$44))),"Insufficient information entered for this area.",IF(AND('FINANCIAL INPUTS'!$C$21&gt;0,'FINANCIAL INPUTS'!$C$44&lt;'FINANCIAL INPUTS'!$C$21),IF('FINANCIAL INPUTS'!$C$44&lt;=0,"The business reported net income of "&amp;TEXT('FINANCIAL INPUTS'!$C$21,"$#,##0")&amp;" but operating cash flow of "&amp;TEXT('FINANCIAL INPUTS'!$C$44,"$#,##0")&amp;". Review working capital movements and other differences between reported profit and cash generation.","Net income was "&amp;TEXT('FINANCIAL INPUTS'!$C$21,"$#,##0")&amp;" while operating cash flow was "&amp;TEXT('FINANCIAL INPUTS'!$C$44,"$#,##0")&amp;", a conversion of "&amp;TEXT('FINANCIAL INPUTS'!$C$44/'FINANCIAL INPUTS'!$C$21,"0%")&amp;". Review working capital movements, particularly receivables and payables, and other differences between reported profit and cash generation."),"Not flagged based on the figures entered for this period.")),"")</f>
        <v>Net income was $82,000 while operating cash flow was $61,000, a conversion of 74%. Review working capital movements, particularly receivables and payables, and other differences between reported profit and cash generation.</v>
      </c>
    </row>
    <row r="12" spans="1:7" ht="43.5" customHeight="1" x14ac:dyDescent="0.35">
      <c r="B12" s="91">
        <v>4</v>
      </c>
      <c r="C12" s="92" t="s">
        <v>89</v>
      </c>
      <c r="D12" s="93" t="str">
        <f>IFERROR(IF(NOT(AND(ISNUMBER('FINANCIAL INPUTS'!$C$26),ISNUMBER('FINANCIAL INPUTS'!$D$26),ISNUMBER('FINANCIAL INPUTS'!$C$15),ISNUMBER('FINANCIAL INPUTS'!$D$15),'FINANCIAL INPUTS'!$D$26&lt;&gt;0,'FINANCIAL INPUTS'!$D$15&lt;&gt;0)),"—",IF(('FINANCIAL INPUTS'!$C$26/'FINANCIAL INPUTS'!$D$26-1)&gt;('FINANCIAL INPUTS'!$C$15/'FINANCIAL INPUTS'!$D$15-1)+'FINANCIAL ANALYSIS'!$C$8,"Review","—")),"—")</f>
        <v>Review</v>
      </c>
      <c r="F12" s="94" t="str">
        <f>IFERROR(IF(NOT(AND(ISNUMBER('FINANCIAL INPUTS'!$C$26),ISNUMBER('FINANCIAL INPUTS'!$D$26),ISNUMBER('FINANCIAL INPUTS'!$C$15),ISNUMBER('FINANCIAL INPUTS'!$D$15),'FINANCIAL INPUTS'!$D$26&lt;&gt;0,'FINANCIAL INPUTS'!$D$15&lt;&gt;0)),"Insufficient information entered for this area.",IF(('FINANCIAL INPUTS'!$C$26/'FINANCIAL INPUTS'!$D$26-1)&gt;('FINANCIAL INPUTS'!$C$15/'FINANCIAL INPUTS'!$D$15-1)+'FINANCIAL ANALYSIS'!$C$8,"Accounts receivable increased "&amp;TEXT('FINANCIAL INPUTS'!$C$26/'FINANCIAL INPUTS'!$D$26-1,"0%")&amp;" while revenue increased "&amp;TEXT('FINANCIAL INPUTS'!$C$15/'FINANCIAL INPUTS'!$D$15-1,"0%")&amp;". Approximate days sales outstanding moved from "&amp;TEXT('FINANCIAL ANALYSIS'!$D$43,"0")&amp;" to "&amp;TEXT('FINANCIAL ANALYSIS'!$C$43,"0")&amp;" days. Review customer payment timing, overdue balances, and collection processes.","Not flagged based on the figures entered for this period.")),"")</f>
        <v>Accounts receivable increased 30% while revenue increased 14%. Approximate days sales outstanding moved from 56 to 64 days. Review customer payment timing, overdue balances, and collection processes.</v>
      </c>
    </row>
    <row r="13" spans="1:7" ht="43.5" customHeight="1" x14ac:dyDescent="0.35">
      <c r="B13" s="91">
        <v>5</v>
      </c>
      <c r="C13" s="92" t="s">
        <v>303</v>
      </c>
      <c r="D13" s="93" t="str">
        <f>IFERROR(IF(NOT(AND(ISNUMBER('FINANCIAL INPUTS'!$C$25),ISNUMBER('FINANCIAL INPUTS'!$C$54))),"—",IF('FINANCIAL INPUTS'!$C$25&lt;'FINANCIAL INPUTS'!$C$54,"Review","—")),"—")</f>
        <v>—</v>
      </c>
      <c r="F13" s="94" t="str">
        <f>IFERROR(IF(NOT(AND(ISNUMBER('FINANCIAL INPUTS'!$C$25),ISNUMBER('FINANCIAL INPUTS'!$C$54))),"Insufficient information entered for this area.",IF('FINANCIAL INPUTS'!$C$25&lt;'FINANCIAL INPUTS'!$C$54,"Current cash of "&amp;TEXT('FINANCIAL INPUTS'!$C$25,"$#,##0")&amp;" is "&amp;TEXT('FINANCIAL INPUTS'!$C$54-'FINANCIAL INPUTS'!$C$25,"$#,##0")&amp;" below the minimum cash balance entered in this workbook. Review upcoming cash requirements and expected inflows.","Not flagged based on the figures entered for this period.")),"")</f>
        <v>Not flagged based on the figures entered for this period.</v>
      </c>
    </row>
    <row r="14" spans="1:7" ht="43.5" customHeight="1" x14ac:dyDescent="0.35">
      <c r="B14" s="91">
        <v>6</v>
      </c>
      <c r="C14" s="92" t="s">
        <v>304</v>
      </c>
      <c r="D14" s="93" t="str">
        <f>IFERROR(IF(NOT(AND(ISNUMBER('FINANCIAL INPUTS'!$C$32),ISNUMBER('FINANCIAL INPUTS'!$C$34),ISNUMBER('FINANCIAL INPUTS'!$D$32),ISNUMBER('FINANCIAL INPUTS'!$D$34),ISNUMBER('FINANCIAL INPUTS'!$C$36),ISNUMBER('FINANCIAL INPUTS'!$D$36),'FINANCIAL INPUTS'!$C$36&lt;&gt;0,'FINANCIAL INPUTS'!$D$36&lt;&gt;0)),"—",IF(('FINANCIAL INPUTS'!$C$35/'FINANCIAL INPUTS'!$C$36-'FINANCIAL INPUTS'!$D$35/'FINANCIAL INPUTS'!$D$36)&gt;'FINANCIAL ANALYSIS'!$C$8,"Review","—")),"—")</f>
        <v>Review</v>
      </c>
      <c r="F14" s="94" t="str">
        <f>IFERROR(IF(NOT(AND(ISNUMBER('FINANCIAL INPUTS'!$C$32),ISNUMBER('FINANCIAL INPUTS'!$C$34),ISNUMBER('FINANCIAL INPUTS'!$D$32),ISNUMBER('FINANCIAL INPUTS'!$D$34),ISNUMBER('FINANCIAL INPUTS'!$C$36),ISNUMBER('FINANCIAL INPUTS'!$D$36),'FINANCIAL INPUTS'!$C$36&lt;&gt;0,'FINANCIAL INPUTS'!$D$36&lt;&gt;0)),"Insufficient information entered for this area.",IF(('FINANCIAL INPUTS'!$C$35/'FINANCIAL INPUTS'!$C$36-'FINANCIAL INPUTS'!$D$35/'FINANCIAL INPUTS'!$D$36)&gt;'FINANCIAL ANALYSIS'!$C$8,"Debt moved from "&amp;TEXT('FINANCIAL INPUTS'!$D$35/'FINANCIAL INPUTS'!$D$36,"0.0%")&amp;" of total assets to "&amp;TEXT('FINANCIAL INPUTS'!$C$35/'FINANCIAL INPUTS'!$C$36,"0.0%")&amp;", so borrowing grew faster than the asset base. What did the additional financing fund, and how do the repayments sit against operating cash flow?","Not flagged based on the figures entered for this period.")),"")</f>
        <v>Debt moved from 40.1% of total assets to 43.5%, so borrowing grew faster than the asset base. What did the additional financing fund, and how do the repayments sit against operating cash flow?</v>
      </c>
    </row>
    <row r="15" spans="1:7" ht="43.5" customHeight="1" x14ac:dyDescent="0.35">
      <c r="B15" s="91">
        <v>7</v>
      </c>
      <c r="C15" s="92" t="s">
        <v>305</v>
      </c>
      <c r="D15" s="93" t="str">
        <f>IFERROR(IF(NOT(AND(ISNUMBER('FINANCIAL INPUTS'!$C$44),ISNUMBER('FINANCIAL INPUTS'!$C$45),ISNUMBER('FINANCIAL INPUTS'!$C$46),ISNUMBER('FINANCIAL INPUTS'!$C$25),ISNUMBER('FINANCIAL INPUTS'!$D$25))),"—",IF(AND('FINANCIAL ANALYSIS'!$C$30&lt;0,('FINANCIAL INPUTS'!$C$25-'FINANCIAL INPUTS'!$D$25)&lt;0),"Review","—")),"—")</f>
        <v>—</v>
      </c>
      <c r="F15" s="94" t="str">
        <f>IFERROR(IF(NOT(AND(ISNUMBER('FINANCIAL INPUTS'!$C$44),ISNUMBER('FINANCIAL INPUTS'!$C$45),ISNUMBER('FINANCIAL INPUTS'!$C$46),ISNUMBER('FINANCIAL INPUTS'!$C$25),ISNUMBER('FINANCIAL INPUTS'!$D$25))),"Insufficient information entered for this area.",IF(AND('FINANCIAL ANALYSIS'!$C$30&lt;0,('FINANCIAL INPUTS'!$C$25-'FINANCIAL INPUTS'!$D$25)&lt;0),"After capital spending and owner distributions, the business used "&amp;TEXT(ABS('FINANCIAL ANALYSIS'!$C$30),"$#,##0")&amp;" more cash than it generated, and the cash balance fell by "&amp;TEXT(ABS('FINANCIAL INPUTS'!$C$25-'FINANCIAL INPUTS'!$D$25),"$#,##0")&amp;". Review the balance between distributions, reinvestment and cash retained in the business.","Not flagged based on the figures entered for this period.")),"")</f>
        <v>Not flagged based on the figures entered for this period.</v>
      </c>
    </row>
    <row r="16" spans="1:7" ht="43.5" customHeight="1" x14ac:dyDescent="0.35">
      <c r="B16" s="91">
        <v>8</v>
      </c>
      <c r="C16" s="92" t="s">
        <v>266</v>
      </c>
      <c r="D16" s="93" t="str">
        <f>IFERROR(IF(NOT('OWNER ASSESSMENT'!$E$22=12),"—",IF('OWNER ASSESSMENT'!$E$25&lt;0.75,"Review","—")),"—")</f>
        <v>Review</v>
      </c>
      <c r="F16" s="94" t="str">
        <f>IFERROR(IF(NOT('OWNER ASSESSMENT'!$E$22=12),"Insufficient information entered for this area.",IF('OWNER ASSESSMENT'!$E$25&lt;0.75,"The Owner Assessment identified financial management practices that are incomplete or uncertain — your Financial Visibility Assessment is "&amp;TEXT('OWNER ASSESSMENT'!$E$25,"0%")&amp;". Improving the timeliness and consistency of reporting, forecasting, and KPI review may provide better information for decisions.","Not flagged based on the figures entered for this period.")),"")</f>
        <v>The Owner Assessment identified financial management practices that are incomplete or uncertain — your Financial Visibility Assessment is 61%. Improving the timeliness and consistency of reporting, forecasting, and KPI review may provide better information for decisions.</v>
      </c>
    </row>
    <row r="18" spans="2:6" ht="19.5" customHeight="1" x14ac:dyDescent="0.35">
      <c r="B18" s="114" t="s">
        <v>306</v>
      </c>
      <c r="C18" s="114"/>
      <c r="D18" s="114"/>
      <c r="E18" s="114"/>
      <c r="F18" s="114"/>
    </row>
    <row r="19" spans="2:6" ht="18" customHeight="1" x14ac:dyDescent="0.35">
      <c r="B19" s="37" t="s">
        <v>145</v>
      </c>
      <c r="C19" s="22" t="s">
        <v>259</v>
      </c>
      <c r="D19" s="37" t="s">
        <v>260</v>
      </c>
      <c r="F19" s="22" t="s">
        <v>307</v>
      </c>
    </row>
    <row r="20" spans="2:6" ht="19.5" customHeight="1" x14ac:dyDescent="0.35">
      <c r="B20" s="38">
        <v>1</v>
      </c>
      <c r="C20" s="95" t="s">
        <v>308</v>
      </c>
      <c r="D20" s="96" t="str">
        <f>IFERROR(IF(NOT(AND(ISNUMBER('FINANCIAL INPUTS'!$C$15),ISNUMBER('FINANCIAL INPUTS'!$D$15),'FINANCIAL INPUTS'!$D$15&lt;&gt;0)),"—",IF('FINANCIAL INPUTS'!$C$15&gt;'FINANCIAL INPUTS'!$D$15,"Yes","—")),"—")</f>
        <v>Yes</v>
      </c>
      <c r="F20" s="97" t="str">
        <f>IFERROR(IF(NOT(AND(ISNUMBER('FINANCIAL INPUTS'!$C$15),ISNUMBER('FINANCIAL INPUTS'!$D$15),'FINANCIAL INPUTS'!$D$15&lt;&gt;0)),"Insufficient information entered for this area.",IF('FINANCIAL INPUTS'!$C$15&gt;'FINANCIAL INPUTS'!$D$15,"Revenue grew "&amp;TEXT('FINANCIAL INPUTS'!$C$15/'FINANCIAL INPUTS'!$D$15-1,"0.0%")&amp;" compared with the prior period.","Not indicated by the figures entered for this period.")),"")</f>
        <v>Revenue grew 13.6% compared with the prior period.</v>
      </c>
    </row>
    <row r="21" spans="2:6" ht="19.5" customHeight="1" x14ac:dyDescent="0.35">
      <c r="B21" s="38">
        <v>2</v>
      </c>
      <c r="C21" s="95" t="s">
        <v>7</v>
      </c>
      <c r="D21" s="96" t="str">
        <f>IFERROR(IF(NOT(AND(COUNT('FINANCIAL INPUTS'!$C$15:$C$16)=2,ISNUMBER('FINANCIAL INPUTS'!$C$18),ISNUMBER('FINANCIAL INPUTS'!$C$21))),"—",IF(AND('FINANCIAL INPUTS'!$C$19&gt;0,'FINANCIAL INPUTS'!$C$21&gt;0),"Yes","—")),"—")</f>
        <v>Yes</v>
      </c>
      <c r="F21" s="97" t="str">
        <f>IFERROR(IF(NOT(AND(COUNT('FINANCIAL INPUTS'!$C$15:$C$16)=2,ISNUMBER('FINANCIAL INPUTS'!$C$18),ISNUMBER('FINANCIAL INPUTS'!$C$21))),"Insufficient information entered for this area.",IF(AND('FINANCIAL INPUTS'!$C$19&gt;0,'FINANCIAL INPUTS'!$C$21&gt;0),"Operating profit of "&amp;TEXT('FINANCIAL INPUTS'!$C$19,"$#,##0")&amp;" and net income of "&amp;TEXT('FINANCIAL INPUTS'!$C$21,"$#,##0")&amp;" both remain positive.","Not indicated by the figures entered for this period.")),"")</f>
        <v>Operating profit of $118,800 and net income of $82,000 both remain positive.</v>
      </c>
    </row>
    <row r="22" spans="2:6" ht="19.5" customHeight="1" x14ac:dyDescent="0.35">
      <c r="B22" s="38">
        <v>3</v>
      </c>
      <c r="C22" s="95" t="s">
        <v>200</v>
      </c>
      <c r="D22" s="96" t="str">
        <f>IFERROR(IF(NOT(ISNUMBER('FINANCIAL INPUTS'!$C$44)),"—",IF('FINANCIAL INPUTS'!$C$44&gt;0,"Yes","—")),"—")</f>
        <v>Yes</v>
      </c>
      <c r="F22" s="97" t="str">
        <f>IFERROR(IF(NOT(ISNUMBER('FINANCIAL INPUTS'!$C$44)),"Insufficient information entered for this area.",IF('FINANCIAL INPUTS'!$C$44&gt;0,"The business generated "&amp;TEXT('FINANCIAL INPUTS'!$C$44,"$#,##0")&amp;" of positive operating cash flow.","Not indicated by the figures entered for this period.")),"")</f>
        <v>The business generated $61,000 of positive operating cash flow.</v>
      </c>
    </row>
    <row r="23" spans="2:6" ht="19.5" customHeight="1" x14ac:dyDescent="0.35">
      <c r="B23" s="38">
        <v>4</v>
      </c>
      <c r="C23" s="95" t="s">
        <v>303</v>
      </c>
      <c r="D23" s="96" t="str">
        <f>IFERROR(IF(NOT(AND(ISNUMBER('FINANCIAL INPUTS'!$C$25),ISNUMBER('FINANCIAL INPUTS'!$C$54))),"—",IF('FINANCIAL INPUTS'!$C$25&gt;='FINANCIAL INPUTS'!$C$54,"Yes","—")),"—")</f>
        <v>Yes</v>
      </c>
      <c r="F23" s="97" t="str">
        <f>IFERROR(IF(NOT(AND(ISNUMBER('FINANCIAL INPUTS'!$C$25),ISNUMBER('FINANCIAL INPUTS'!$C$54))),"Insufficient information entered for this area.",IF('FINANCIAL INPUTS'!$C$25&gt;='FINANCIAL INPUTS'!$C$54,"Cash of "&amp;TEXT('FINANCIAL INPUTS'!$C$25,"$#,##0")&amp;" is "&amp;TEXT('FINANCIAL INPUTS'!$C$25-'FINANCIAL INPUTS'!$C$54,"$#,##0")&amp;" above the minimum balance you entered.","Not indicated by the figures entered for this period.")),"")</f>
        <v>Cash of $163,000 is $43,000 above the minimum balance you entered.</v>
      </c>
    </row>
    <row r="24" spans="2:6" ht="19.5" customHeight="1" x14ac:dyDescent="0.35">
      <c r="B24" s="38">
        <v>5</v>
      </c>
      <c r="C24" s="95" t="s">
        <v>264</v>
      </c>
      <c r="D24" s="96" t="str">
        <f>IFERROR(IF(NOT(AND(AND(COUNT('FINANCIAL INPUTS'!$C$25:$C$28)=4,COUNT('FINANCIAL INPUTS'!$C$30:$C$32)=3,COUNT('FINANCIAL INPUTS'!$D$25:$D$28)=4,COUNT('FINANCIAL INPUTS'!$D$30:$D$32)=3),'FINANCIAL ANALYSIS'!$D$38&lt;&gt;0)),"—",IF('FINANCIAL ANALYSIS'!$C$38&gt;'FINANCIAL ANALYSIS'!$D$38,"Yes","—")),"—")</f>
        <v>Yes</v>
      </c>
      <c r="F24" s="97" t="str">
        <f>IFERROR(IF(NOT(AND(AND(COUNT('FINANCIAL INPUTS'!$C$25:$C$28)=4,COUNT('FINANCIAL INPUTS'!$C$30:$C$32)=3,COUNT('FINANCIAL INPUTS'!$D$25:$D$28)=4,COUNT('FINANCIAL INPUTS'!$D$30:$D$32)=3),'FINANCIAL ANALYSIS'!$D$38&lt;&gt;0)),"Insufficient information entered for this area.",IF('FINANCIAL ANALYSIS'!$C$38&gt;'FINANCIAL ANALYSIS'!$D$38,"Net working capital improved by "&amp;TEXT('FINANCIAL ANALYSIS'!$C$38-'FINANCIAL ANALYSIS'!$D$38,"$#,##0")&amp;" compared with the prior period.","Not indicated by the figures entered for this period.")),"")</f>
        <v>Net working capital improved by $78,000 compared with the prior period.</v>
      </c>
    </row>
    <row r="25" spans="2:6" ht="19.5" customHeight="1" x14ac:dyDescent="0.35">
      <c r="B25" s="38">
        <v>6</v>
      </c>
      <c r="C25" s="95" t="s">
        <v>304</v>
      </c>
      <c r="D25" s="96" t="str">
        <f>IFERROR(IF(NOT(AND(ISNUMBER('FINANCIAL INPUTS'!$C$32),ISNUMBER('FINANCIAL INPUTS'!$C$34),ISNUMBER('FINANCIAL INPUTS'!$D$32),ISNUMBER('FINANCIAL INPUTS'!$D$34),ISNUMBER('FINANCIAL INPUTS'!$C$36),ISNUMBER('FINANCIAL INPUTS'!$D$36),'FINANCIAL INPUTS'!$C$36&lt;&gt;0,'FINANCIAL INPUTS'!$D$36&lt;&gt;0)),"—",IF(('FINANCIAL INPUTS'!$C$35/'FINANCIAL INPUTS'!$C$36-'FINANCIAL INPUTS'!$D$35/'FINANCIAL INPUTS'!$D$36)&lt;-'FINANCIAL ANALYSIS'!$C$8,"Yes","—")),"—")</f>
        <v>—</v>
      </c>
      <c r="F25" s="97" t="str">
        <f>IFERROR(IF(NOT(AND(ISNUMBER('FINANCIAL INPUTS'!$C$32),ISNUMBER('FINANCIAL INPUTS'!$C$34),ISNUMBER('FINANCIAL INPUTS'!$D$32),ISNUMBER('FINANCIAL INPUTS'!$D$34),ISNUMBER('FINANCIAL INPUTS'!$C$36),ISNUMBER('FINANCIAL INPUTS'!$D$36),'FINANCIAL INPUTS'!$C$36&lt;&gt;0,'FINANCIAL INPUTS'!$D$36&lt;&gt;0)),"Insufficient information entered for this area.",IF(('FINANCIAL INPUTS'!$C$35/'FINANCIAL INPUTS'!$C$36-'FINANCIAL INPUTS'!$D$35/'FINANCIAL INPUTS'!$D$36)&lt;-'FINANCIAL ANALYSIS'!$C$8,"Debt moved from "&amp;TEXT('FINANCIAL INPUTS'!$D$35/'FINANCIAL INPUTS'!$D$36,"0.0%")&amp;" of total assets to "&amp;TEXT('FINANCIAL INPUTS'!$C$35/'FINANCIAL INPUTS'!$C$36,"0.0%")&amp;", so the asset base carried relatively less debt at the period end.","Not indicated by the figures entered for this period.")),"")</f>
        <v>Not indicated by the figures entered for this period.</v>
      </c>
    </row>
    <row r="26" spans="2:6" ht="19.5" customHeight="1" x14ac:dyDescent="0.35">
      <c r="B26" s="38">
        <v>7</v>
      </c>
      <c r="C26" s="95" t="s">
        <v>266</v>
      </c>
      <c r="D26" s="96" t="str">
        <f>IFERROR(IF(NOT('OWNER ASSESSMENT'!$E$22=12),"—",IF('OWNER ASSESSMENT'!$E$25&gt;=0.75,"Yes","—")),"—")</f>
        <v>—</v>
      </c>
      <c r="F26" s="97" t="str">
        <f>IFERROR(IF(NOT('OWNER ASSESSMENT'!$E$22=12),"Insufficient information entered for this area.",IF('OWNER ASSESSMENT'!$E$25&gt;=0.75,"Your Financial Visibility Assessment is strong at "&amp;TEXT('OWNER ASSESSMENT'!$E$25,"0%")&amp;", based on the Owner Assessment.","Not indicated by the figures entered for this period.")),"")</f>
        <v>Not indicated by the figures entered for this period.</v>
      </c>
    </row>
    <row r="28" spans="2:6" ht="18" customHeight="1" x14ac:dyDescent="0.35">
      <c r="B28" s="125" t="s">
        <v>309</v>
      </c>
      <c r="C28" s="125"/>
      <c r="D28" s="125"/>
      <c r="E28" s="125"/>
      <c r="F28" s="125"/>
    </row>
    <row r="29" spans="2:6" ht="18" customHeight="1" x14ac:dyDescent="0.35">
      <c r="B29" s="125"/>
      <c r="C29" s="125"/>
      <c r="D29" s="125"/>
      <c r="E29" s="125"/>
      <c r="F29" s="125"/>
    </row>
    <row r="30" spans="2:6" ht="18" customHeight="1" x14ac:dyDescent="0.35">
      <c r="B30" s="125"/>
      <c r="C30" s="125"/>
      <c r="D30" s="125"/>
      <c r="E30" s="125"/>
      <c r="F30" s="125"/>
    </row>
    <row r="32" spans="2:6" ht="18" customHeight="1" x14ac:dyDescent="0.35">
      <c r="B32" s="118" t="s">
        <v>310</v>
      </c>
      <c r="C32" s="118"/>
      <c r="D32" s="118"/>
      <c r="E32" s="118"/>
      <c r="F32" s="118"/>
    </row>
  </sheetData>
  <sheetProtection sheet="1" formatCells="0" sort="0" autoFilter="0"/>
  <mergeCells count="7">
    <mergeCell ref="B28:F30"/>
    <mergeCell ref="B32:F32"/>
    <mergeCell ref="B2:F2"/>
    <mergeCell ref="B3:F3"/>
    <mergeCell ref="B6:F6"/>
    <mergeCell ref="B7:F7"/>
    <mergeCell ref="B18:F18"/>
  </mergeCells>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60"/>
  <sheetViews>
    <sheetView showGridLines="0" topLeftCell="A16" zoomScale="85" zoomScaleNormal="85" workbookViewId="0">
      <selection activeCell="F66" sqref="F66"/>
    </sheetView>
  </sheetViews>
  <sheetFormatPr defaultColWidth="8.6328125" defaultRowHeight="14.5" x14ac:dyDescent="0.35"/>
  <cols>
    <col min="1" max="1" width="2.1796875" customWidth="1"/>
    <col min="2" max="21" width="5.7265625" customWidth="1"/>
    <col min="22" max="22" width="2.1796875" customWidth="1"/>
  </cols>
  <sheetData>
    <row r="1" spans="1:22" ht="15.75" customHeight="1" x14ac:dyDescent="0.35">
      <c r="A1" s="15"/>
      <c r="B1" s="134" t="s">
        <v>0</v>
      </c>
      <c r="C1" s="134"/>
      <c r="D1" s="134"/>
      <c r="E1" s="134"/>
      <c r="F1" s="134"/>
      <c r="G1" s="134"/>
      <c r="H1" s="134"/>
      <c r="I1" s="134"/>
      <c r="J1" s="134"/>
      <c r="K1" s="134"/>
      <c r="L1" s="134"/>
      <c r="M1" s="134"/>
      <c r="N1" s="134"/>
      <c r="O1" s="134"/>
      <c r="P1" s="134"/>
      <c r="Q1" s="134"/>
      <c r="R1" s="134"/>
      <c r="S1" s="134"/>
      <c r="T1" s="134"/>
      <c r="U1" s="134"/>
      <c r="V1" s="15"/>
    </row>
    <row r="2" spans="1:22" ht="27.75" customHeight="1" x14ac:dyDescent="0.35">
      <c r="A2" s="15"/>
      <c r="B2" s="112" t="s">
        <v>311</v>
      </c>
      <c r="C2" s="112"/>
      <c r="D2" s="112"/>
      <c r="E2" s="112"/>
      <c r="F2" s="112"/>
      <c r="G2" s="112"/>
      <c r="H2" s="112"/>
      <c r="I2" s="112"/>
      <c r="J2" s="112"/>
      <c r="K2" s="112"/>
      <c r="L2" s="112"/>
      <c r="M2" s="112"/>
      <c r="N2" s="135" t="str">
        <f>IFERROR('FINANCIAL INPUTS'!$C$8&amp;"   vs   "&amp;'FINANCIAL INPUTS'!$D$8,"")</f>
        <v>TTM to Jun 2026   vs   TTM to Jun 2025</v>
      </c>
      <c r="O2" s="135"/>
      <c r="P2" s="135"/>
      <c r="Q2" s="135"/>
      <c r="R2" s="135"/>
      <c r="S2" s="135"/>
      <c r="T2" s="135"/>
      <c r="U2" s="135"/>
      <c r="V2" s="15"/>
    </row>
    <row r="3" spans="1:22" ht="15" customHeight="1" x14ac:dyDescent="0.35">
      <c r="A3" s="15"/>
      <c r="B3" s="136" t="s">
        <v>312</v>
      </c>
      <c r="C3" s="136"/>
      <c r="D3" s="136"/>
      <c r="E3" s="136"/>
      <c r="F3" s="136"/>
      <c r="G3" s="136"/>
      <c r="H3" s="136"/>
      <c r="I3" s="136"/>
      <c r="J3" s="136"/>
      <c r="K3" s="136"/>
      <c r="L3" s="136"/>
      <c r="M3" s="136"/>
      <c r="N3" s="136"/>
      <c r="O3" s="136"/>
      <c r="P3" s="136"/>
      <c r="Q3" s="136"/>
      <c r="R3" s="136"/>
      <c r="S3" s="136"/>
      <c r="T3" s="136"/>
      <c r="U3" s="136"/>
      <c r="V3" s="15"/>
    </row>
    <row r="4" spans="1:22" ht="7.5" customHeight="1" x14ac:dyDescent="0.35"/>
    <row r="5" spans="1:22" ht="3.75" customHeight="1" x14ac:dyDescent="0.35">
      <c r="B5" s="137"/>
      <c r="C5" s="137"/>
      <c r="D5" s="137"/>
      <c r="E5" s="137"/>
      <c r="F5" s="137"/>
      <c r="G5" s="137"/>
      <c r="H5" s="137"/>
      <c r="I5" s="137"/>
      <c r="J5" s="137"/>
      <c r="K5" s="137"/>
      <c r="L5" s="137"/>
      <c r="M5" s="137"/>
      <c r="N5" s="137"/>
      <c r="O5" s="137"/>
      <c r="P5" s="137"/>
      <c r="Q5" s="137"/>
      <c r="R5" s="137"/>
      <c r="S5" s="137"/>
      <c r="T5" s="137"/>
      <c r="U5" s="137"/>
    </row>
    <row r="6" spans="1:22" ht="13.5" customHeight="1" x14ac:dyDescent="0.35">
      <c r="B6" s="138" t="s">
        <v>184</v>
      </c>
      <c r="C6" s="138"/>
      <c r="D6" s="138"/>
      <c r="E6" s="138"/>
      <c r="F6" s="138" t="s">
        <v>119</v>
      </c>
      <c r="G6" s="138"/>
      <c r="H6" s="138"/>
      <c r="I6" s="138"/>
      <c r="J6" s="138" t="s">
        <v>215</v>
      </c>
      <c r="K6" s="138"/>
      <c r="L6" s="138"/>
      <c r="M6" s="138"/>
      <c r="N6" s="138" t="s">
        <v>228</v>
      </c>
      <c r="O6" s="138"/>
      <c r="P6" s="138"/>
      <c r="Q6" s="138"/>
      <c r="R6" s="138" t="s">
        <v>313</v>
      </c>
      <c r="S6" s="138"/>
      <c r="T6" s="138"/>
      <c r="U6" s="138"/>
    </row>
    <row r="7" spans="1:22" ht="21" customHeight="1" x14ac:dyDescent="0.35">
      <c r="B7" s="139" t="str">
        <f>'HEALTH CHECK'!$C$14</f>
        <v>Monitor</v>
      </c>
      <c r="C7" s="139"/>
      <c r="D7" s="139"/>
      <c r="E7" s="139"/>
      <c r="F7" s="139" t="str">
        <f>'HEALTH CHECK'!$C$15</f>
        <v>Needs Attention</v>
      </c>
      <c r="G7" s="139"/>
      <c r="H7" s="139"/>
      <c r="I7" s="139"/>
      <c r="J7" s="139" t="str">
        <f>'HEALTH CHECK'!$C$16</f>
        <v>Monitor</v>
      </c>
      <c r="K7" s="139"/>
      <c r="L7" s="139"/>
      <c r="M7" s="139"/>
      <c r="N7" s="139" t="str">
        <f>'HEALTH CHECK'!$C$17</f>
        <v>Positive Trend</v>
      </c>
      <c r="O7" s="139"/>
      <c r="P7" s="139"/>
      <c r="Q7" s="139"/>
      <c r="R7" s="139" t="str">
        <f>'HEALTH CHECK'!$C$18</f>
        <v>Monitor</v>
      </c>
      <c r="S7" s="139"/>
      <c r="T7" s="139"/>
      <c r="U7" s="139"/>
    </row>
    <row r="8" spans="1:22" ht="15" customHeight="1" x14ac:dyDescent="0.35">
      <c r="B8" s="140" t="s">
        <v>314</v>
      </c>
      <c r="C8" s="140"/>
      <c r="D8" s="140"/>
      <c r="E8" s="140"/>
      <c r="F8" s="140" t="s">
        <v>315</v>
      </c>
      <c r="G8" s="140"/>
      <c r="H8" s="140"/>
      <c r="I8" s="140"/>
      <c r="J8" s="140" t="s">
        <v>316</v>
      </c>
      <c r="K8" s="140"/>
      <c r="L8" s="140"/>
      <c r="M8" s="140"/>
      <c r="N8" s="140" t="s">
        <v>317</v>
      </c>
      <c r="O8" s="140"/>
      <c r="P8" s="140"/>
      <c r="Q8" s="140"/>
      <c r="R8" s="140" t="s">
        <v>318</v>
      </c>
      <c r="S8" s="140"/>
      <c r="T8" s="140"/>
      <c r="U8" s="140"/>
    </row>
    <row r="9" spans="1:22" ht="9.75" customHeight="1" x14ac:dyDescent="0.35"/>
    <row r="10" spans="1:22" ht="3.75" customHeight="1" x14ac:dyDescent="0.35">
      <c r="B10" s="98"/>
      <c r="C10" s="99"/>
      <c r="D10" s="99"/>
      <c r="E10" s="99"/>
      <c r="F10" s="100"/>
      <c r="G10" s="98"/>
      <c r="H10" s="99"/>
      <c r="I10" s="99"/>
      <c r="J10" s="99"/>
      <c r="K10" s="100"/>
      <c r="L10" s="98"/>
      <c r="M10" s="99"/>
      <c r="N10" s="99"/>
      <c r="O10" s="99"/>
      <c r="P10" s="100"/>
      <c r="Q10" s="98"/>
      <c r="R10" s="99"/>
      <c r="S10" s="99"/>
      <c r="T10" s="99"/>
      <c r="U10" s="100"/>
    </row>
    <row r="11" spans="1:22" ht="19.5" customHeight="1" x14ac:dyDescent="0.35">
      <c r="B11" s="141" t="s">
        <v>319</v>
      </c>
      <c r="C11" s="141"/>
      <c r="D11" s="141"/>
      <c r="E11" s="141"/>
      <c r="F11" s="141"/>
      <c r="G11" s="141" t="s">
        <v>320</v>
      </c>
      <c r="H11" s="141"/>
      <c r="I11" s="141"/>
      <c r="J11" s="141"/>
      <c r="K11" s="141"/>
      <c r="L11" s="141" t="s">
        <v>321</v>
      </c>
      <c r="M11" s="141"/>
      <c r="N11" s="141"/>
      <c r="O11" s="141"/>
      <c r="P11" s="141"/>
      <c r="Q11" s="141" t="s">
        <v>322</v>
      </c>
      <c r="R11" s="141"/>
      <c r="S11" s="141"/>
      <c r="T11" s="141"/>
      <c r="U11" s="141"/>
    </row>
    <row r="12" spans="1:22" ht="24" customHeight="1" x14ac:dyDescent="0.35">
      <c r="B12" s="142">
        <f>'FINANCIAL ANALYSIS'!$C$14</f>
        <v>0.13580246913580246</v>
      </c>
      <c r="C12" s="142"/>
      <c r="D12" s="142"/>
      <c r="E12" s="142"/>
      <c r="F12" s="142"/>
      <c r="G12" s="142">
        <f>'FINANCIAL ANALYSIS'!$C$16</f>
        <v>0.52</v>
      </c>
      <c r="H12" s="142"/>
      <c r="I12" s="142"/>
      <c r="J12" s="142"/>
      <c r="K12" s="142"/>
      <c r="L12" s="142">
        <f>'FINANCIAL ANALYSIS'!$C$18</f>
        <v>6.4565217391304344E-2</v>
      </c>
      <c r="M12" s="142"/>
      <c r="N12" s="142"/>
      <c r="O12" s="142"/>
      <c r="P12" s="142"/>
      <c r="Q12" s="143">
        <f>'FINANCIAL ANALYSIS'!$C$24</f>
        <v>61000</v>
      </c>
      <c r="R12" s="143"/>
      <c r="S12" s="143"/>
      <c r="T12" s="143"/>
      <c r="U12" s="143"/>
    </row>
    <row r="13" spans="1:22" ht="13.5" customHeight="1" x14ac:dyDescent="0.35">
      <c r="B13" s="140" t="s">
        <v>323</v>
      </c>
      <c r="C13" s="140"/>
      <c r="D13" s="140"/>
      <c r="E13" s="140"/>
      <c r="F13" s="140"/>
      <c r="G13" s="140" t="str">
        <f>IFERROR(IF(ISNUMBER('FINANCIAL ANALYSIS'!$D$16),"was "&amp;TEXT('FINANCIAL ANALYSIS'!$D$16,"0.0%")&amp;" prior period","prior period not entered"),"")</f>
        <v>was 53.8% prior period</v>
      </c>
      <c r="H13" s="140"/>
      <c r="I13" s="140"/>
      <c r="J13" s="140"/>
      <c r="K13" s="140"/>
      <c r="L13" s="140" t="str">
        <f>IFERROR(IF(ISNUMBER('FINANCIAL ANALYSIS'!$D$18),"was "&amp;TEXT('FINANCIAL ANALYSIS'!$D$18,"0.0%")&amp;" prior period","prior period not entered"),"")</f>
        <v>was 7.8% prior period</v>
      </c>
      <c r="M13" s="140"/>
      <c r="N13" s="140"/>
      <c r="O13" s="140"/>
      <c r="P13" s="140"/>
      <c r="Q13" s="140" t="str">
        <f>IFERROR(IF(ISNUMBER('FINANCIAL INPUTS'!$C$21),"net income "&amp;TEXT('FINANCIAL INPUTS'!$C$21,"$#,##0"),"net income not entered"),"")</f>
        <v>net income $82,000</v>
      </c>
      <c r="R13" s="140"/>
      <c r="S13" s="140"/>
      <c r="T13" s="140"/>
      <c r="U13" s="140"/>
    </row>
    <row r="14" spans="1:22" ht="7.5" customHeight="1" x14ac:dyDescent="0.35"/>
    <row r="15" spans="1:22" ht="3.75" customHeight="1" x14ac:dyDescent="0.35">
      <c r="B15" s="101"/>
      <c r="C15" s="102"/>
      <c r="D15" s="102"/>
      <c r="E15" s="102"/>
      <c r="F15" s="103"/>
      <c r="G15" s="101"/>
      <c r="H15" s="102"/>
      <c r="I15" s="102"/>
      <c r="J15" s="102"/>
      <c r="K15" s="103"/>
      <c r="L15" s="101"/>
      <c r="M15" s="102"/>
      <c r="N15" s="102"/>
      <c r="O15" s="102"/>
      <c r="P15" s="103"/>
      <c r="Q15" s="101"/>
      <c r="R15" s="102"/>
      <c r="S15" s="102"/>
      <c r="T15" s="102"/>
      <c r="U15" s="103"/>
    </row>
    <row r="16" spans="1:22" ht="19.5" customHeight="1" x14ac:dyDescent="0.35">
      <c r="B16" s="141" t="s">
        <v>324</v>
      </c>
      <c r="C16" s="141"/>
      <c r="D16" s="141"/>
      <c r="E16" s="141"/>
      <c r="F16" s="141"/>
      <c r="G16" s="141" t="s">
        <v>325</v>
      </c>
      <c r="H16" s="141"/>
      <c r="I16" s="141"/>
      <c r="J16" s="141"/>
      <c r="K16" s="141"/>
      <c r="L16" s="141" t="s">
        <v>326</v>
      </c>
      <c r="M16" s="141"/>
      <c r="N16" s="141"/>
      <c r="O16" s="141"/>
      <c r="P16" s="141"/>
      <c r="Q16" s="141" t="s">
        <v>327</v>
      </c>
      <c r="R16" s="141"/>
      <c r="S16" s="141"/>
      <c r="T16" s="141"/>
      <c r="U16" s="141"/>
    </row>
    <row r="17" spans="2:21" ht="24" customHeight="1" x14ac:dyDescent="0.35">
      <c r="B17" s="143">
        <f>'FINANCIAL ANALYSIS'!$C$28</f>
        <v>19000</v>
      </c>
      <c r="C17" s="143"/>
      <c r="D17" s="143"/>
      <c r="E17" s="143"/>
      <c r="F17" s="143"/>
      <c r="G17" s="143">
        <f>'FINANCIAL ANALYSIS'!$C$38</f>
        <v>257000</v>
      </c>
      <c r="H17" s="143"/>
      <c r="I17" s="143"/>
      <c r="J17" s="143"/>
      <c r="K17" s="143"/>
      <c r="L17" s="144">
        <f>'FINANCIAL ANALYSIS'!$C$49</f>
        <v>2.3285714285714287</v>
      </c>
      <c r="M17" s="144"/>
      <c r="N17" s="144"/>
      <c r="O17" s="144"/>
      <c r="P17" s="144"/>
      <c r="Q17" s="142">
        <f>'OWNER ASSESSMENT'!$E$25</f>
        <v>0.61111111111111116</v>
      </c>
      <c r="R17" s="142"/>
      <c r="S17" s="142"/>
      <c r="T17" s="142"/>
      <c r="U17" s="142"/>
    </row>
    <row r="18" spans="2:21" ht="13.5" customHeight="1" x14ac:dyDescent="0.35">
      <c r="B18" s="140" t="s">
        <v>328</v>
      </c>
      <c r="C18" s="140"/>
      <c r="D18" s="140"/>
      <c r="E18" s="140"/>
      <c r="F18" s="140"/>
      <c r="G18" s="140" t="str">
        <f>IFERROR(IF(ISNUMBER('FINANCIAL ANALYSIS'!$D$38),"was "&amp;TEXT('FINANCIAL ANALYSIS'!$D$38,"$#,##0")&amp;" prior period","prior period not entered"),"")</f>
        <v>was $179,000 prior period</v>
      </c>
      <c r="H18" s="140"/>
      <c r="I18" s="140"/>
      <c r="J18" s="140"/>
      <c r="K18" s="140"/>
      <c r="L18" s="140" t="s">
        <v>329</v>
      </c>
      <c r="M18" s="140"/>
      <c r="N18" s="140"/>
      <c r="O18" s="140"/>
      <c r="P18" s="140"/>
      <c r="Q18" s="140" t="str">
        <f>IFERROR('OWNER ASSESSMENT'!$D$26,"")</f>
        <v>Moderate Visibility</v>
      </c>
      <c r="R18" s="140"/>
      <c r="S18" s="140"/>
      <c r="T18" s="140"/>
      <c r="U18" s="140"/>
    </row>
    <row r="19" spans="2:21" ht="9.75" customHeight="1" x14ac:dyDescent="0.35"/>
    <row r="20" spans="2:21" ht="18.75" customHeight="1" x14ac:dyDescent="0.35">
      <c r="B20" s="145" t="s">
        <v>330</v>
      </c>
      <c r="C20" s="145"/>
      <c r="D20" s="145"/>
      <c r="E20" s="145"/>
      <c r="F20" s="145"/>
      <c r="G20" s="145"/>
      <c r="H20" s="145"/>
      <c r="I20" s="145"/>
      <c r="J20" s="145"/>
      <c r="K20" s="145"/>
      <c r="L20" s="145" t="s">
        <v>331</v>
      </c>
      <c r="M20" s="145"/>
      <c r="N20" s="145"/>
      <c r="O20" s="145"/>
      <c r="P20" s="145"/>
      <c r="Q20" s="145"/>
      <c r="R20" s="145"/>
      <c r="S20" s="145"/>
      <c r="T20" s="145"/>
      <c r="U20" s="145"/>
    </row>
    <row r="34" spans="2:21" ht="18.75" customHeight="1" x14ac:dyDescent="0.35">
      <c r="B34" s="145" t="s">
        <v>332</v>
      </c>
      <c r="C34" s="145"/>
      <c r="D34" s="145"/>
      <c r="E34" s="145"/>
      <c r="F34" s="145"/>
      <c r="G34" s="145"/>
      <c r="H34" s="145"/>
      <c r="I34" s="145"/>
      <c r="J34" s="145"/>
      <c r="K34" s="145"/>
      <c r="L34" s="145" t="s">
        <v>333</v>
      </c>
      <c r="M34" s="145"/>
      <c r="N34" s="145"/>
      <c r="O34" s="145"/>
      <c r="P34" s="145"/>
      <c r="Q34" s="145"/>
      <c r="R34" s="145"/>
      <c r="S34" s="145"/>
      <c r="T34" s="145"/>
      <c r="U34" s="145"/>
    </row>
    <row r="47" spans="2:21" ht="7.5" customHeight="1" x14ac:dyDescent="0.35"/>
    <row r="48" spans="2:21" ht="7.5" customHeight="1" x14ac:dyDescent="0.35"/>
    <row r="49" spans="2:21" ht="21" customHeight="1" x14ac:dyDescent="0.35">
      <c r="B49" s="146" t="s">
        <v>334</v>
      </c>
      <c r="C49" s="146"/>
      <c r="D49" s="146"/>
      <c r="E49" s="146"/>
      <c r="F49" s="146"/>
      <c r="G49" s="146"/>
      <c r="H49" s="146"/>
      <c r="I49" s="146"/>
      <c r="J49" s="146"/>
      <c r="K49" s="146"/>
      <c r="L49" s="146"/>
      <c r="M49" s="146"/>
      <c r="N49" s="146"/>
      <c r="O49" s="146"/>
      <c r="P49" s="146"/>
      <c r="Q49" s="146"/>
      <c r="R49" s="146"/>
      <c r="S49" s="146"/>
      <c r="T49" s="146"/>
      <c r="U49" s="146"/>
    </row>
    <row r="50" spans="2:21" ht="15.75" customHeight="1" x14ac:dyDescent="0.35">
      <c r="B50" s="104" t="s">
        <v>335</v>
      </c>
      <c r="C50" s="147" t="str">
        <f>IFERROR(IF(NOT(AND(ISNUMBER('FINANCIAL INPUTS'!$C$15),ISNUMBER('FINANCIAL INPUTS'!$D$15),'FINANCIAL INPUTS'!$D$15&lt;&gt;0)),"Revenue for both periods has not been entered, so growth cannot be shown.","Revenue "&amp;IF('FINANCIAL INPUTS'!$C$15&gt;='FINANCIAL INPUTS'!$D$15,"increased ","decreased ")&amp;TEXT(ABS('FINANCIAL INPUTS'!$C$15/'FINANCIAL INPUTS'!$D$15-1),"0.0%")&amp;" compared with the prior period, to "&amp;TEXT('FINANCIAL INPUTS'!$C$15,"$#,##0")&amp;"."),"")</f>
        <v>Revenue increased 13.6% compared with the prior period, to $1,840,000.</v>
      </c>
      <c r="D50" s="147"/>
      <c r="E50" s="147"/>
      <c r="F50" s="147"/>
      <c r="G50" s="147"/>
      <c r="H50" s="147"/>
      <c r="I50" s="147"/>
      <c r="J50" s="147"/>
      <c r="K50" s="147"/>
      <c r="L50" s="147"/>
      <c r="M50" s="147"/>
      <c r="N50" s="147"/>
      <c r="O50" s="147"/>
      <c r="P50" s="147"/>
      <c r="Q50" s="147"/>
      <c r="R50" s="147"/>
      <c r="S50" s="147"/>
      <c r="T50" s="147"/>
      <c r="U50" s="147"/>
    </row>
    <row r="51" spans="2:21" ht="15.75" customHeight="1" x14ac:dyDescent="0.35">
      <c r="B51" s="105" t="s">
        <v>335</v>
      </c>
      <c r="C51" s="148" t="str">
        <f>IFERROR(IF(NOT(AND(COUNT('FINANCIAL INPUTS'!$C$15:$C$16)=2,COUNT('FINANCIAL INPUTS'!$D$15:$D$16)=2,'FINANCIAL INPUTS'!$C$15&lt;&gt;0,'FINANCIAL INPUTS'!$D$15&lt;&gt;0)),"Gross margin needs revenue and cost of sales entered for both periods.","Gross margin "&amp;IF('FINANCIAL ANALYSIS'!$E$16&gt;=0,"improved ","declined ")&amp;"by "&amp;TEXT(ABS('FINANCIAL ANALYSIS'!$E$16),"0.0")&amp;" percentage points, from "&amp;TEXT('FINANCIAL ANALYSIS'!$D$16,"0.0%")&amp;" to "&amp;TEXT('FINANCIAL ANALYSIS'!$C$16,"0.0%")&amp;"."),"")</f>
        <v>Gross margin declined by 1.8 percentage points, from 53.8% to 52.0%.</v>
      </c>
      <c r="D51" s="148"/>
      <c r="E51" s="148"/>
      <c r="F51" s="148"/>
      <c r="G51" s="148"/>
      <c r="H51" s="148"/>
      <c r="I51" s="148"/>
      <c r="J51" s="148"/>
      <c r="K51" s="148"/>
      <c r="L51" s="148"/>
      <c r="M51" s="148"/>
      <c r="N51" s="148"/>
      <c r="O51" s="148"/>
      <c r="P51" s="148"/>
      <c r="Q51" s="148"/>
      <c r="R51" s="148"/>
      <c r="S51" s="148"/>
      <c r="T51" s="148"/>
      <c r="U51" s="148"/>
    </row>
    <row r="52" spans="2:21" ht="15.75" customHeight="1" x14ac:dyDescent="0.35">
      <c r="B52" s="104" t="s">
        <v>335</v>
      </c>
      <c r="C52" s="147" t="str">
        <f>IFERROR(IF(NOT(AND(ISNUMBER('FINANCIAL INPUTS'!$C$44),ISNUMBER('FINANCIAL INPUTS'!$C$21),ISNUMBER('FINANCIAL INPUTS'!$C$45))),"Operating cash flow, net income and capital spending have not all been entered for this period.","The business generated "&amp;TEXT('FINANCIAL INPUTS'!$C$44,"$#,##0")&amp;" of operating cash flow, compared with net income of "&amp;TEXT('FINANCIAL INPUTS'!$C$21,"$#,##0")&amp;" and free cash flow of "&amp;TEXT('FINANCIAL ANALYSIS'!$C$28,"$#,##0")&amp;"."),"")</f>
        <v>The business generated $61,000 of operating cash flow, compared with net income of $82,000 and free cash flow of $19,000.</v>
      </c>
      <c r="D52" s="147"/>
      <c r="E52" s="147"/>
      <c r="F52" s="147"/>
      <c r="G52" s="147"/>
      <c r="H52" s="147"/>
      <c r="I52" s="147"/>
      <c r="J52" s="147"/>
      <c r="K52" s="147"/>
      <c r="L52" s="147"/>
      <c r="M52" s="147"/>
      <c r="N52" s="147"/>
      <c r="O52" s="147"/>
      <c r="P52" s="147"/>
      <c r="Q52" s="147"/>
      <c r="R52" s="147"/>
      <c r="S52" s="147"/>
      <c r="T52" s="147"/>
      <c r="U52" s="147"/>
    </row>
    <row r="53" spans="2:21" ht="15.75" customHeight="1" x14ac:dyDescent="0.35">
      <c r="B53" s="105" t="s">
        <v>335</v>
      </c>
      <c r="C53" s="148" t="str">
        <f>IFERROR(IF(NOT(AND(ISNUMBER('FINANCIAL INPUTS'!$C$25),ISNUMBER('FINANCIAL INPUTS'!$C$54))),"Cash and your minimum desired cash balance have not both been entered.","Current cash of "&amp;TEXT('FINANCIAL INPUTS'!$C$25,"$#,##0")&amp;" is "&amp;TEXT(ABS('FINANCIAL INPUTS'!$C$25-'FINANCIAL INPUTS'!$C$54),"$#,##0")&amp;IF('FINANCIAL INPUTS'!$C$25&gt;='FINANCIAL INPUTS'!$C$54," above "," below ")&amp;"the minimum cash balance you entered."),"")</f>
        <v>Current cash of $163,000 is $43,000 above the minimum cash balance you entered.</v>
      </c>
      <c r="D53" s="148"/>
      <c r="E53" s="148"/>
      <c r="F53" s="148"/>
      <c r="G53" s="148"/>
      <c r="H53" s="148"/>
      <c r="I53" s="148"/>
      <c r="J53" s="148"/>
      <c r="K53" s="148"/>
      <c r="L53" s="148"/>
      <c r="M53" s="148"/>
      <c r="N53" s="148"/>
      <c r="O53" s="148"/>
      <c r="P53" s="148"/>
      <c r="Q53" s="148"/>
      <c r="R53" s="148"/>
      <c r="S53" s="148"/>
      <c r="T53" s="148"/>
      <c r="U53" s="148"/>
    </row>
    <row r="54" spans="2:21" ht="15.75" customHeight="1" x14ac:dyDescent="0.35">
      <c r="B54" s="104" t="s">
        <v>335</v>
      </c>
      <c r="C54" s="147" t="str">
        <f>IFERROR(IF(NOT(AND(ISNUMBER('FINANCIAL INPUTS'!$C$26),ISNUMBER('FINANCIAL INPUTS'!$D$26),ISNUMBER('FINANCIAL INPUTS'!$C$15),ISNUMBER('FINANCIAL INPUTS'!$D$15),'FINANCIAL INPUTS'!$D$26&lt;&gt;0,'FINANCIAL INPUTS'!$D$15&lt;&gt;0)),"Receivables and revenue have not been entered for both periods.","Accounts receivable "&amp;IF('FINANCIAL INPUTS'!$C$26&gt;='FINANCIAL INPUTS'!$D$26,"increased ","decreased ")&amp;TEXT(ABS('FINANCIAL INPUTS'!$C$26/'FINANCIAL INPUTS'!$D$26-1),"0%")&amp;" while revenue "&amp;IF('FINANCIAL INPUTS'!$C$15&gt;='FINANCIAL INPUTS'!$D$15,"increased ","decreased ")&amp;TEXT(ABS('FINANCIAL INPUTS'!$C$15/'FINANCIAL INPUTS'!$D$15-1),"0%")&amp;"."),"")</f>
        <v>Accounts receivable increased 30% while revenue increased 14%.</v>
      </c>
      <c r="D54" s="147"/>
      <c r="E54" s="147"/>
      <c r="F54" s="147"/>
      <c r="G54" s="147"/>
      <c r="H54" s="147"/>
      <c r="I54" s="147"/>
      <c r="J54" s="147"/>
      <c r="K54" s="147"/>
      <c r="L54" s="147"/>
      <c r="M54" s="147"/>
      <c r="N54" s="147"/>
      <c r="O54" s="147"/>
      <c r="P54" s="147"/>
      <c r="Q54" s="147"/>
      <c r="R54" s="147"/>
      <c r="S54" s="147"/>
      <c r="T54" s="147"/>
      <c r="U54" s="147"/>
    </row>
    <row r="55" spans="2:21" ht="15.75" customHeight="1" x14ac:dyDescent="0.35">
      <c r="B55" s="106" t="s">
        <v>335</v>
      </c>
      <c r="C55" s="149" t="str">
        <f>IFERROR(IF(NOT(AND(ISNUMBER('FINANCIAL INPUTS'!$C$32),ISNUMBER('FINANCIAL INPUTS'!$C$34),ISNUMBER('FINANCIAL INPUTS'!$D$32),ISNUMBER('FINANCIAL INPUTS'!$D$34),ISNUMBER('FINANCIAL INPUTS'!$C$36),ISNUMBER('FINANCIAL INPUTS'!$D$36),'FINANCIAL INPUTS'!$C$36&lt;&gt;0,'FINANCIAL INPUTS'!$D$36&lt;&gt;0)),"Debt and total assets have not been entered for both periods, so the debt relationship cannot be shown.",IF(AND('FINANCIAL INPUTS'!$C$35=0,'FINANCIAL INPUTS'!$D$35=0),"No debt is recorded in either period.","Total debt "&amp;IF('FINANCIAL INPUTS'!$C$35='FINANCIAL INPUTS'!$D$35,"was unchanged at "&amp;TEXT('FINANCIAL INPUTS'!$C$35,"$#,##0"),IF('FINANCIAL INPUTS'!$C$35&gt;'FINANCIAL INPUTS'!$D$35,"increased ","decreased ")&amp;"by "&amp;TEXT(ABS('FINANCIAL INPUTS'!$C$35-'FINANCIAL INPUTS'!$D$35),"$#,##0")&amp;" to "&amp;TEXT('FINANCIAL INPUTS'!$C$35,"$#,##0"))&amp;", moving from "&amp;TEXT('FINANCIAL INPUTS'!$D$35/'FINANCIAL INPUTS'!$D$36,"0.0%")&amp;" of total assets to "&amp;TEXT('FINANCIAL INPUTS'!$C$35/'FINANCIAL INPUTS'!$C$36,"0.0%")&amp;".")),"")</f>
        <v>Total debt increased by $72,000 to $320,000, moving from 40.1% of total assets to 43.5%.</v>
      </c>
      <c r="D55" s="149"/>
      <c r="E55" s="149"/>
      <c r="F55" s="149"/>
      <c r="G55" s="149"/>
      <c r="H55" s="149"/>
      <c r="I55" s="149"/>
      <c r="J55" s="149"/>
      <c r="K55" s="149"/>
      <c r="L55" s="149"/>
      <c r="M55" s="149"/>
      <c r="N55" s="149"/>
      <c r="O55" s="149"/>
      <c r="P55" s="149"/>
      <c r="Q55" s="149"/>
      <c r="R55" s="149"/>
      <c r="S55" s="149"/>
      <c r="T55" s="149"/>
      <c r="U55" s="149"/>
    </row>
    <row r="57" spans="2:21" ht="21.75" customHeight="1" x14ac:dyDescent="0.35">
      <c r="B57" s="150" t="str">
        <f>IFERROR("Five areas: "&amp;'HEALTH CHECK'!$C$7&amp;" positive, "&amp;'HEALTH CHECK'!$C$8&amp;" to monitor, "&amp;'HEALTH CHECK'!$C$9&amp;" needing attention, "&amp;'HEALTH CHECK'!$C$10&amp;" insufficient information.   "&amp;COUNTIF('ACTION PLAN'!$D$9:$D$16,"Review")&amp;" flagged on the ACTION PLAN tab.","")</f>
        <v>Five areas: 1 positive, 3 to monitor, 1 needing attention, 0 insufficient information.   5 flagged on the ACTION PLAN tab.</v>
      </c>
      <c r="C57" s="150"/>
      <c r="D57" s="150"/>
      <c r="E57" s="150"/>
      <c r="F57" s="150"/>
      <c r="G57" s="150"/>
      <c r="H57" s="150"/>
      <c r="I57" s="150"/>
      <c r="J57" s="150"/>
      <c r="K57" s="150"/>
      <c r="L57" s="150"/>
      <c r="M57" s="150"/>
      <c r="N57" s="150"/>
      <c r="O57" s="150"/>
      <c r="P57" s="150"/>
      <c r="Q57" s="150"/>
      <c r="R57" s="150"/>
      <c r="S57" s="150"/>
      <c r="T57" s="150"/>
      <c r="U57" s="150"/>
    </row>
    <row r="59" spans="2:21" ht="30" customHeight="1" x14ac:dyDescent="0.35">
      <c r="B59" s="151" t="s">
        <v>336</v>
      </c>
      <c r="C59" s="151"/>
      <c r="D59" s="151"/>
      <c r="E59" s="151"/>
      <c r="F59" s="151"/>
      <c r="G59" s="151"/>
      <c r="H59" s="151"/>
      <c r="I59" s="151"/>
      <c r="J59" s="151"/>
      <c r="K59" s="151"/>
      <c r="L59" s="151"/>
      <c r="M59" s="151"/>
      <c r="N59" s="151"/>
      <c r="O59" s="151"/>
      <c r="P59" s="151"/>
      <c r="Q59" s="151"/>
      <c r="R59" s="151"/>
      <c r="S59" s="151"/>
      <c r="T59" s="151"/>
      <c r="U59" s="151"/>
    </row>
    <row r="60" spans="2:21" ht="19.5" customHeight="1" x14ac:dyDescent="0.35">
      <c r="B60" s="152" t="s">
        <v>337</v>
      </c>
      <c r="C60" s="152"/>
      <c r="D60" s="152"/>
      <c r="E60" s="152"/>
      <c r="F60" s="152"/>
      <c r="G60" s="152"/>
      <c r="H60" s="152"/>
      <c r="I60" s="152"/>
      <c r="J60" s="152"/>
      <c r="K60" s="152"/>
      <c r="L60" s="152"/>
      <c r="M60" s="152"/>
      <c r="N60" s="152"/>
      <c r="O60" s="152"/>
      <c r="P60" s="152"/>
      <c r="Q60" s="152"/>
      <c r="R60" s="152"/>
      <c r="S60" s="152"/>
      <c r="T60" s="152"/>
      <c r="U60" s="152"/>
    </row>
  </sheetData>
  <sheetProtection sheet="1" formatCells="0" sort="0" autoFilter="0"/>
  <mergeCells count="62">
    <mergeCell ref="C55:U55"/>
    <mergeCell ref="B57:U57"/>
    <mergeCell ref="B59:U59"/>
    <mergeCell ref="B60:U60"/>
    <mergeCell ref="C50:U50"/>
    <mergeCell ref="C51:U51"/>
    <mergeCell ref="C52:U52"/>
    <mergeCell ref="C53:U53"/>
    <mergeCell ref="C54:U54"/>
    <mergeCell ref="B20:K20"/>
    <mergeCell ref="L20:U20"/>
    <mergeCell ref="B34:K34"/>
    <mergeCell ref="L34:U34"/>
    <mergeCell ref="B49:U49"/>
    <mergeCell ref="B17:F17"/>
    <mergeCell ref="G17:K17"/>
    <mergeCell ref="L17:P17"/>
    <mergeCell ref="Q17:U17"/>
    <mergeCell ref="B18:F18"/>
    <mergeCell ref="G18:K18"/>
    <mergeCell ref="L18:P18"/>
    <mergeCell ref="Q18:U18"/>
    <mergeCell ref="B13:F13"/>
    <mergeCell ref="G13:K13"/>
    <mergeCell ref="L13:P13"/>
    <mergeCell ref="Q13:U13"/>
    <mergeCell ref="B16:F16"/>
    <mergeCell ref="G16:K16"/>
    <mergeCell ref="L16:P16"/>
    <mergeCell ref="Q16:U16"/>
    <mergeCell ref="B11:F11"/>
    <mergeCell ref="G11:K11"/>
    <mergeCell ref="L11:P11"/>
    <mergeCell ref="Q11:U11"/>
    <mergeCell ref="B12:F12"/>
    <mergeCell ref="G12:K12"/>
    <mergeCell ref="L12:P12"/>
    <mergeCell ref="Q12:U12"/>
    <mergeCell ref="B8:E8"/>
    <mergeCell ref="F8:I8"/>
    <mergeCell ref="J8:M8"/>
    <mergeCell ref="N8:Q8"/>
    <mergeCell ref="R8:U8"/>
    <mergeCell ref="B7:E7"/>
    <mergeCell ref="F7:I7"/>
    <mergeCell ref="J7:M7"/>
    <mergeCell ref="N7:Q7"/>
    <mergeCell ref="R7:U7"/>
    <mergeCell ref="B6:E6"/>
    <mergeCell ref="F6:I6"/>
    <mergeCell ref="J6:M6"/>
    <mergeCell ref="N6:Q6"/>
    <mergeCell ref="R6:U6"/>
    <mergeCell ref="B1:U1"/>
    <mergeCell ref="B2:M2"/>
    <mergeCell ref="N2:U2"/>
    <mergeCell ref="B3:U3"/>
    <mergeCell ref="B5:E5"/>
    <mergeCell ref="F5:I5"/>
    <mergeCell ref="J5:M5"/>
    <mergeCell ref="N5:Q5"/>
    <mergeCell ref="R5:U5"/>
  </mergeCells>
  <conditionalFormatting sqref="B5:U5">
    <cfRule type="expression" dxfId="3" priority="2">
      <formula>B$7="Positive Trend"</formula>
    </cfRule>
    <cfRule type="expression" dxfId="2" priority="3">
      <formula>B$7="Monitor"</formula>
    </cfRule>
    <cfRule type="expression" dxfId="1" priority="4">
      <formula>B$7="Needs Attention"</formula>
    </cfRule>
    <cfRule type="expression" dxfId="0" priority="5">
      <formula>B$7="Insufficient Information"</formula>
    </cfRule>
  </conditionalFormatting>
  <pageMargins left="0.3" right="0.3" top="0.35" bottom="0.35" header="0.511811023622047" footer="0.511811023622047"/>
  <pageSetup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START HERE</vt:lpstr>
      <vt:lpstr>FINANCIAL INPUTS</vt:lpstr>
      <vt:lpstr>OWNER ASSESSMENT</vt:lpstr>
      <vt:lpstr>FINANCIAL ANALYSIS</vt:lpstr>
      <vt:lpstr>HEALTH CHECK</vt:lpstr>
      <vt:lpstr>ACTION PLAN</vt:lpstr>
      <vt:lpstr>EXECUTIVE DASHBOARD</vt:lpstr>
      <vt:lpstr>'ACTION PLAN'!Print_Area</vt:lpstr>
      <vt:lpstr>'EXECUTIVE DASHBOARD'!Print_Area</vt:lpstr>
      <vt:lpstr>'FINANCIAL ANALYSIS'!Print_Area</vt:lpstr>
      <vt:lpstr>'FINANCIAL INPUTS'!Print_Area</vt:lpstr>
      <vt:lpstr>'HEALTH CHECK'!Print_Area</vt:lpstr>
      <vt:lpstr>'OWNER ASSESSMENT'!Print_Area</vt:lpstr>
      <vt:lpstr>'START HERE'!Print_Area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Financial Health Check</dc:title>
  <dc:subject>Financial diagnostic for owner-led businesses</dc:subject>
  <dc:creator>Vertex Strategic Finance</dc:creator>
  <dc:description>Free diagnostic from Vertex Strategic Finance. All sample data is fictional and provided for illustration and planning purposes only.</dc:description>
  <cp:lastModifiedBy>Senthuran Selvanathan</cp:lastModifiedBy>
  <cp:revision>14</cp:revision>
  <dcterms:created xsi:type="dcterms:W3CDTF">2026-08-30T00:59:48Z</dcterms:created>
  <dcterms:modified xsi:type="dcterms:W3CDTF">2026-09-01T20:49:27Z</dcterms:modified>
  <dc:language>en-US</dc:language>
</cp:coreProperties>
</file>