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0" documentId="8_{63F3DBAB-9C2C-4260-BF54-11232776EE71}" xr6:coauthVersionLast="47" xr6:coauthVersionMax="47" xr10:uidLastSave="{00000000-0000-0000-0000-000000000000}"/>
  <bookViews>
    <workbookView xWindow="35460" yWindow="-2370" windowWidth="30555" windowHeight="18705" tabRatio="715" xr2:uid="{00000000-000D-0000-FFFF-FFFF00000000}"/>
  </bookViews>
  <sheets>
    <sheet name="START HERE" sheetId="1" r:id="rId1"/>
    <sheet name="MONTHLY INPUTS" sheetId="2" r:id="rId2"/>
    <sheet name="JOB PERFORMANCE" sheetId="3" r:id="rId3"/>
    <sheet name="KPI ANALYSIS" sheetId="4" r:id="rId4"/>
    <sheet name="KPI TARGETS" sheetId="5" r:id="rId5"/>
    <sheet name="WORKING CAPITAL" sheetId="6" r:id="rId6"/>
    <sheet name="ACTION PLAN" sheetId="7" r:id="rId7"/>
    <sheet name="EXECUTIVE DASHBOARD" sheetId="8" r:id="rId8"/>
  </sheets>
  <definedNames>
    <definedName name="ChgARD">'KPI ANALYSIS'!$E$34</definedName>
    <definedName name="ChgBack">'KPI ANALYSIS'!$E$41</definedName>
    <definedName name="ChgCash">'KPI ANALYSIS'!$E$30</definedName>
    <definedName name="ChgGM">'KPI ANALYSIS'!$E$15</definedName>
    <definedName name="ChgMat">'KPI ANALYSIS'!$E$23</definedName>
    <definedName name="CurAR">'KPI ANALYSIS'!$C$31</definedName>
    <definedName name="CurARD">'KPI ANALYSIS'!$C$34</definedName>
    <definedName name="CurBack">'KPI ANALYSIS'!$C$41</definedName>
    <definedName name="CurCash">'KPI ANALYSIS'!$C$30</definedName>
    <definedName name="CurCO">'KPI ANALYSIS'!$C$42</definedName>
    <definedName name="CurCov">'KPI ANALYSIS'!$C$35</definedName>
    <definedName name="CurCR">'KPI ANALYSIS'!$C$33</definedName>
    <definedName name="CurDC">'KPI ANALYSIS'!$C$24</definedName>
    <definedName name="CurGM">'KPI ANALYSIS'!$C$15</definedName>
    <definedName name="CurGP">'KPI ANALYSIS'!$C$14</definedName>
    <definedName name="CurGrw">'KPI ANALYSIS'!$C$13</definedName>
    <definedName name="CurJobC">'KPI ANALYSIS'!$C$39</definedName>
    <definedName name="CurJobP">'KPI ANALYSIS'!$C$40</definedName>
    <definedName name="CurLab">'KPI ANALYSIS'!$C$21</definedName>
    <definedName name="CurMat">'KPI ANALYSIS'!$C$23</definedName>
    <definedName name="CurOH">'KPI ANALYSIS'!$C$25</definedName>
    <definedName name="CurOM">'KPI ANALYSIS'!$C$17</definedName>
    <definedName name="CurOP">'KPI ANALYSIS'!$C$16</definedName>
    <definedName name="CurQC">'KPI ANALYSIS'!$C$43</definedName>
    <definedName name="CurRev">'KPI ANALYSIS'!$C$12</definedName>
    <definedName name="CurSub">'KPI ANALYSIS'!$C$22</definedName>
    <definedName name="DirOK">'MONTHLY INPUTS'!$C$92:$N$92</definedName>
    <definedName name="GrsOK">'MONTHLY INPUTS'!$C$94:$N$94</definedName>
    <definedName name="JobContract">'JOB PERFORMANCE'!$F$48</definedName>
    <definedName name="JobCostVar">'JOB PERFORMANCE'!$F$55</definedName>
    <definedName name="JobCount">'JOB PERFORMANCE'!$T$10</definedName>
    <definedName name="JobDone">'JOB PERFORMANCE'!$T$11</definedName>
    <definedName name="JobEstGM">'JOB PERFORMANCE'!$F$42</definedName>
    <definedName name="JobMarVar">'JOB PERFORMANCE'!$F$56</definedName>
    <definedName name="JobOverrun">'JOB PERFORMANCE'!$F$63</definedName>
    <definedName name="JobPartial">'JOB PERFORMANCE'!$T$9</definedName>
    <definedName name="JobWAct">'JOB PERFORMANCE'!$F$54</definedName>
    <definedName name="JobWEst">'JOB PERFORMANCE'!$F$53</definedName>
    <definedName name="MAP">'MONTHLY INPUTS'!$C$63:$N$63</definedName>
    <definedName name="MAR">'MONTHLY INPUTS'!$C$62:$N$62</definedName>
    <definedName name="MBack">'MONTHLY INPUTS'!$C$73:$N$73</definedName>
    <definedName name="MCA">'MONTHLY INPUTS'!$C$64:$N$64</definedName>
    <definedName name="MCash">'MONTHLY INPUTS'!$C$61:$N$61</definedName>
    <definedName name="MChg">'MONTHLY INPUTS'!$C$74:$N$74</definedName>
    <definedName name="MCL">'MONTHLY INPUTS'!$C$65:$N$65</definedName>
    <definedName name="MDC">'MONTHLY INPUTS'!$C$32:$N$32</definedName>
    <definedName name="MDoneF">'MONTHLY INPUTS'!$C$97:$N$97</definedName>
    <definedName name="MDoneTxt">'MONTHLY INPUTS'!$C$14:$N$14</definedName>
    <definedName name="MDraw">'MONTHLY INPUTS'!$C$55:$N$55</definedName>
    <definedName name="MEqp">'MONTHLY INPUTS'!$C$29:$N$29</definedName>
    <definedName name="MGM">'MONTHLY INPUTS'!$C$34:$N$34</definedName>
    <definedName name="MGP">'MONTHLY INPUTS'!$C$33:$N$33</definedName>
    <definedName name="MJobC">'MONTHLY INPUTS'!$C$71:$N$71</definedName>
    <definedName name="MJobP">'MONTHLY INPUTS'!$C$72:$N$72</definedName>
    <definedName name="MJobS">'MONTHLY INPUTS'!$C$70:$N$70</definedName>
    <definedName name="MLab">'MONTHLY INPUTS'!$C$26:$N$26</definedName>
    <definedName name="MLbl">'MONTHLY INPUTS'!$C$13:$N$13</definedName>
    <definedName name="MMat">'MONTHLY INPUTS'!$C$28:$N$28</definedName>
    <definedName name="MOdc">'MONTHLY INPUTS'!$C$31:$N$31</definedName>
    <definedName name="MOH">'MONTHLY INPUTS'!$C$48:$N$48</definedName>
    <definedName name="MOM">'MONTHLY INPUTS'!$C$50:$N$50</definedName>
    <definedName name="MoMProv">'MONTHLY INPUTS'!$C$111</definedName>
    <definedName name="MOP">'MONTHLY INPUTS'!$C$49:$N$49</definedName>
    <definedName name="MPmt">'MONTHLY INPUTS'!$C$30:$N$30</definedName>
    <definedName name="MQI">'MONTHLY INPUTS'!$C$75:$N$75</definedName>
    <definedName name="MQW">'MONTHLY INPUTS'!$C$76:$N$76</definedName>
    <definedName name="MRev">'MONTHLY INPUTS'!$C$22:$N$22</definedName>
    <definedName name="MSub">'MONTHLY INPUTS'!$C$27:$N$27</definedName>
    <definedName name="OhOK">'MONTHLY INPUTS'!$C$93:$N$93</definedName>
    <definedName name="PrfOK">'MONTHLY INPUTS'!$C$95:$N$95</definedName>
    <definedName name="PriARD">'KPI ANALYSIS'!$D$34</definedName>
    <definedName name="PriBack">'KPI ANALYSIS'!$D$41</definedName>
    <definedName name="PriCash">'KPI ANALYSIS'!$D$30</definedName>
    <definedName name="PriDone">'MONTHLY INPUTS'!$C$102</definedName>
    <definedName name="PriGM">'KPI ANALYSIS'!$D$15</definedName>
    <definedName name="PriMat">'KPI ANALYSIS'!$D$23</definedName>
    <definedName name="_xlnm.Print_Area" localSheetId="6">'ACTION PLAN'!$A$1:$D$20</definedName>
    <definedName name="_xlnm.Print_Area" localSheetId="7">'EXECUTIVE DASHBOARD'!$A$1:$V$60</definedName>
    <definedName name="_xlnm.Print_Area" localSheetId="2">'JOB PERFORMANCE'!$A$1:$Q$67</definedName>
    <definedName name="_xlnm.Print_Area" localSheetId="3">'KPI ANALYSIS'!$A$1:$O$62</definedName>
    <definedName name="_xlnm.Print_Area" localSheetId="4">'KPI TARGETS'!$A$1:$F$28</definedName>
    <definedName name="_xlnm.Print_Area" localSheetId="1">'MONTHLY INPUTS'!$A$1:$O$87</definedName>
    <definedName name="_xlnm.Print_Area" localSheetId="0">'START HERE'!$A$1:$D$62</definedName>
    <definedName name="_xlnm.Print_Area" localSheetId="5">'WORKING CAPITAL'!$A$1:$O$35</definedName>
    <definedName name="PriRev">'KPI ANALYSIS'!$D$12</definedName>
    <definedName name="ProvCh1">'MONTHLY INPUTS'!$C$109</definedName>
    <definedName name="ProvCh2">'MONTHLY INPUTS'!$C$110</definedName>
    <definedName name="ProvMonths">'MONTHLY INPUTS'!$C$103</definedName>
    <definedName name="ProvWC">'MONTHLY INPUTS'!$C$108</definedName>
    <definedName name="RepDone">'MONTHLY INPUTS'!$C$101</definedName>
    <definedName name="RepIdx">'MONTHLY INPUTS'!$C$10</definedName>
    <definedName name="RepOK">'MONTHLY INPUTS'!$C$100</definedName>
    <definedName name="RevOK">'MONTHLY INPUTS'!$C$91:$N$91</definedName>
    <definedName name="StARD">'KPI ANALYSIS'!$G$34</definedName>
    <definedName name="StARD2">'KPI ANALYSIS'!$G$34</definedName>
    <definedName name="StBack">'KPI ANALYSIS'!$G$41</definedName>
    <definedName name="StCash">'KPI ANALYSIS'!$G$30</definedName>
    <definedName name="StCov">'KPI ANALYSIS'!$G$35</definedName>
    <definedName name="StDC">'KPI ANALYSIS'!$G$24</definedName>
    <definedName name="StGM">'KPI ANALYSIS'!$G$15</definedName>
    <definedName name="StJMV">'KPI ANALYSIS'!$G$49</definedName>
    <definedName name="StLab">'KPI ANALYSIS'!$G$21</definedName>
    <definedName name="StMat">'KPI ANALYSIS'!$G$23</definedName>
    <definedName name="StOH">'KPI ANALYSIS'!$G$25</definedName>
    <definedName name="StOM">'KPI ANALYSIS'!$G$17</definedName>
    <definedName name="StOP">'KPI ANALYSIS'!$G$16</definedName>
    <definedName name="StRev">'KPI ANALYSIS'!$G$12</definedName>
    <definedName name="StSub">'KPI ANALYSIS'!$G$22</definedName>
    <definedName name="TgtARD">'KPI TARGETS'!$C$19</definedName>
    <definedName name="TgtBack">'KPI TARGETS'!$C$22</definedName>
    <definedName name="TgtCash">'KPI TARGETS'!$C$20</definedName>
    <definedName name="TgtCov">'KPI TARGETS'!$C$21</definedName>
    <definedName name="TgtDC">'KPI TARGETS'!$C$17</definedName>
    <definedName name="TgtGM">'KPI TARGETS'!$C$12</definedName>
    <definedName name="TgtJMV">'KPI TARGETS'!$C$23</definedName>
    <definedName name="TgtLab">'KPI TARGETS'!$C$14</definedName>
    <definedName name="TgtMat">'KPI TARGETS'!$C$16</definedName>
    <definedName name="TgtOH">'KPI TARGETS'!$C$18</definedName>
    <definedName name="TgtOM">'KPI TARGETS'!$C$13</definedName>
    <definedName name="TgtRev">'KPI TARGETS'!$C$11</definedName>
    <definedName name="TgtSub">'KPI TARGETS'!$C$15</definedName>
    <definedName name="WcOK">'MONTHLY INPUTS'!$C$96:$N$96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Q12" i="8" l="1"/>
  <c r="L12" i="8"/>
  <c r="G12" i="8"/>
  <c r="B12" i="8"/>
  <c r="Q8" i="8"/>
  <c r="L8" i="8"/>
  <c r="G8" i="8"/>
  <c r="N27" i="6"/>
  <c r="M27" i="6"/>
  <c r="L27" i="6"/>
  <c r="K27" i="6"/>
  <c r="J27" i="6"/>
  <c r="I27" i="6"/>
  <c r="H27" i="6"/>
  <c r="G27" i="6"/>
  <c r="F27" i="6"/>
  <c r="E27" i="6"/>
  <c r="D27" i="6"/>
  <c r="C27" i="6"/>
  <c r="N26" i="6"/>
  <c r="M26" i="6"/>
  <c r="L26" i="6"/>
  <c r="K26" i="6"/>
  <c r="J26" i="6"/>
  <c r="I26" i="6"/>
  <c r="H26" i="6"/>
  <c r="G26" i="6"/>
  <c r="F26" i="6"/>
  <c r="E26" i="6"/>
  <c r="D26" i="6"/>
  <c r="C26" i="6"/>
  <c r="N25" i="6"/>
  <c r="M25" i="6"/>
  <c r="L25" i="6"/>
  <c r="K25" i="6"/>
  <c r="J25" i="6"/>
  <c r="I25" i="6"/>
  <c r="H25" i="6"/>
  <c r="G25" i="6"/>
  <c r="F25" i="6"/>
  <c r="E25" i="6"/>
  <c r="D25" i="6"/>
  <c r="C25" i="6"/>
  <c r="N24" i="6"/>
  <c r="M24" i="6"/>
  <c r="L24" i="6"/>
  <c r="K24" i="6"/>
  <c r="J24" i="6"/>
  <c r="I24" i="6"/>
  <c r="H24" i="6"/>
  <c r="G24" i="6"/>
  <c r="F24" i="6"/>
  <c r="E24" i="6"/>
  <c r="D24" i="6"/>
  <c r="C24" i="6"/>
  <c r="N23" i="6"/>
  <c r="M23" i="6"/>
  <c r="L23" i="6"/>
  <c r="K23" i="6"/>
  <c r="J23" i="6"/>
  <c r="I23" i="6"/>
  <c r="H23" i="6"/>
  <c r="G23" i="6"/>
  <c r="F23" i="6"/>
  <c r="E23" i="6"/>
  <c r="D23" i="6"/>
  <c r="C23" i="6"/>
  <c r="N22" i="6"/>
  <c r="M22" i="6"/>
  <c r="L22" i="6"/>
  <c r="K22" i="6"/>
  <c r="J22" i="6"/>
  <c r="I22" i="6"/>
  <c r="H22" i="6"/>
  <c r="G22" i="6"/>
  <c r="F22" i="6"/>
  <c r="E22" i="6"/>
  <c r="D22" i="6"/>
  <c r="C22" i="6"/>
  <c r="F15" i="6"/>
  <c r="B26" i="5"/>
  <c r="N60" i="4"/>
  <c r="M60" i="4"/>
  <c r="L60" i="4"/>
  <c r="K60" i="4"/>
  <c r="J60" i="4"/>
  <c r="I60" i="4"/>
  <c r="H60" i="4"/>
  <c r="G60" i="4"/>
  <c r="F60" i="4"/>
  <c r="E60" i="4"/>
  <c r="D60" i="4"/>
  <c r="C60" i="4"/>
  <c r="N54" i="4"/>
  <c r="M54" i="4"/>
  <c r="L54" i="4"/>
  <c r="K54" i="4"/>
  <c r="J54" i="4"/>
  <c r="I54" i="4"/>
  <c r="H54" i="4"/>
  <c r="G54" i="4"/>
  <c r="F54" i="4"/>
  <c r="E54" i="4"/>
  <c r="D54" i="4"/>
  <c r="C54" i="4"/>
  <c r="F50" i="4"/>
  <c r="E50" i="4"/>
  <c r="D50" i="4"/>
  <c r="F49" i="4"/>
  <c r="E49" i="4"/>
  <c r="D49" i="4"/>
  <c r="F48" i="4"/>
  <c r="E48" i="4"/>
  <c r="D48" i="4"/>
  <c r="F47" i="4"/>
  <c r="E47" i="4"/>
  <c r="D47" i="4"/>
  <c r="F43" i="4"/>
  <c r="F42" i="4"/>
  <c r="F41" i="4"/>
  <c r="F40" i="4"/>
  <c r="F39" i="4"/>
  <c r="F35" i="4"/>
  <c r="F18" i="6" s="1"/>
  <c r="F34" i="4"/>
  <c r="F17" i="6" s="1"/>
  <c r="F33" i="4"/>
  <c r="F16" i="6" s="1"/>
  <c r="F32" i="4"/>
  <c r="F14" i="6" s="1"/>
  <c r="F31" i="4"/>
  <c r="F13" i="6" s="1"/>
  <c r="F30" i="4"/>
  <c r="F12" i="6" s="1"/>
  <c r="F25" i="4"/>
  <c r="F24" i="4"/>
  <c r="F23" i="4"/>
  <c r="F22" i="4"/>
  <c r="F21" i="4"/>
  <c r="F17" i="4"/>
  <c r="F16" i="4"/>
  <c r="F15" i="4"/>
  <c r="F14" i="4"/>
  <c r="F13" i="4"/>
  <c r="E13" i="4"/>
  <c r="D13" i="4"/>
  <c r="F12" i="4"/>
  <c r="S19" i="3"/>
  <c r="P19" i="3"/>
  <c r="K19" i="3"/>
  <c r="F19" i="3"/>
  <c r="S18" i="3"/>
  <c r="P18" i="3"/>
  <c r="K18" i="3"/>
  <c r="F18" i="3"/>
  <c r="S17" i="3"/>
  <c r="P17" i="3"/>
  <c r="K17" i="3"/>
  <c r="F17" i="3"/>
  <c r="S16" i="3"/>
  <c r="P16" i="3"/>
  <c r="K16" i="3"/>
  <c r="F16" i="3"/>
  <c r="S15" i="3"/>
  <c r="P15" i="3"/>
  <c r="K15" i="3"/>
  <c r="F15" i="3"/>
  <c r="S14" i="3"/>
  <c r="P14" i="3"/>
  <c r="K14" i="3"/>
  <c r="F14" i="3"/>
  <c r="S13" i="3"/>
  <c r="P13" i="3"/>
  <c r="K13" i="3"/>
  <c r="F13" i="3"/>
  <c r="S12" i="3"/>
  <c r="P12" i="3"/>
  <c r="K12" i="3"/>
  <c r="F12" i="3"/>
  <c r="S11" i="3"/>
  <c r="P11" i="3"/>
  <c r="K11" i="3"/>
  <c r="F11" i="3"/>
  <c r="T10" i="3"/>
  <c r="S10" i="3"/>
  <c r="P10" i="3"/>
  <c r="K10" i="3"/>
  <c r="F10" i="3"/>
  <c r="T9" i="3"/>
  <c r="N105" i="2"/>
  <c r="M105" i="2"/>
  <c r="L105" i="2"/>
  <c r="K105" i="2"/>
  <c r="J105" i="2"/>
  <c r="I105" i="2"/>
  <c r="H105" i="2"/>
  <c r="G105" i="2"/>
  <c r="F105" i="2"/>
  <c r="E105" i="2"/>
  <c r="D105" i="2"/>
  <c r="C105" i="2"/>
  <c r="C100" i="2"/>
  <c r="N97" i="2"/>
  <c r="M97" i="2"/>
  <c r="L97" i="2"/>
  <c r="K97" i="2"/>
  <c r="J97" i="2"/>
  <c r="I97" i="2"/>
  <c r="H97" i="2"/>
  <c r="G97" i="2"/>
  <c r="F97" i="2"/>
  <c r="E97" i="2"/>
  <c r="D97" i="2"/>
  <c r="C97" i="2"/>
  <c r="N96" i="2"/>
  <c r="N84" i="2" s="1"/>
  <c r="M96" i="2"/>
  <c r="M84" i="2" s="1"/>
  <c r="L96" i="2"/>
  <c r="L84" i="2" s="1"/>
  <c r="K96" i="2"/>
  <c r="K84" i="2" s="1"/>
  <c r="J96" i="2"/>
  <c r="J84" i="2" s="1"/>
  <c r="I96" i="2"/>
  <c r="I84" i="2" s="1"/>
  <c r="H96" i="2"/>
  <c r="H84" i="2" s="1"/>
  <c r="G96" i="2"/>
  <c r="G84" i="2" s="1"/>
  <c r="F96" i="2"/>
  <c r="F84" i="2" s="1"/>
  <c r="E96" i="2"/>
  <c r="E84" i="2" s="1"/>
  <c r="D96" i="2"/>
  <c r="D84" i="2" s="1"/>
  <c r="C96" i="2"/>
  <c r="C84" i="2" s="1"/>
  <c r="C94" i="2"/>
  <c r="N93" i="2"/>
  <c r="N83" i="2" s="1"/>
  <c r="M93" i="2"/>
  <c r="M83" i="2" s="1"/>
  <c r="L93" i="2"/>
  <c r="L83" i="2" s="1"/>
  <c r="K93" i="2"/>
  <c r="K83" i="2" s="1"/>
  <c r="J93" i="2"/>
  <c r="J83" i="2" s="1"/>
  <c r="I93" i="2"/>
  <c r="I83" i="2" s="1"/>
  <c r="H93" i="2"/>
  <c r="H83" i="2" s="1"/>
  <c r="G93" i="2"/>
  <c r="G83" i="2" s="1"/>
  <c r="F93" i="2"/>
  <c r="F83" i="2" s="1"/>
  <c r="E93" i="2"/>
  <c r="E83" i="2" s="1"/>
  <c r="D93" i="2"/>
  <c r="D83" i="2" s="1"/>
  <c r="C93" i="2"/>
  <c r="N92" i="2"/>
  <c r="M92" i="2"/>
  <c r="L92" i="2"/>
  <c r="K92" i="2"/>
  <c r="J92" i="2"/>
  <c r="I92" i="2"/>
  <c r="H92" i="2"/>
  <c r="G92" i="2"/>
  <c r="F92" i="2"/>
  <c r="E92" i="2"/>
  <c r="D92" i="2"/>
  <c r="C92" i="2"/>
  <c r="N91" i="2"/>
  <c r="M91" i="2"/>
  <c r="L91" i="2"/>
  <c r="K91" i="2"/>
  <c r="J91" i="2"/>
  <c r="I91" i="2"/>
  <c r="H91" i="2"/>
  <c r="G91" i="2"/>
  <c r="F91" i="2"/>
  <c r="E91" i="2"/>
  <c r="D91" i="2"/>
  <c r="C91" i="2"/>
  <c r="C82" i="2"/>
  <c r="N81" i="2"/>
  <c r="M81" i="2"/>
  <c r="L81" i="2"/>
  <c r="K81" i="2"/>
  <c r="J81" i="2"/>
  <c r="I81" i="2"/>
  <c r="H81" i="2"/>
  <c r="G81" i="2"/>
  <c r="F81" i="2"/>
  <c r="E81" i="2"/>
  <c r="D81" i="2"/>
  <c r="C81" i="2"/>
  <c r="N80" i="2"/>
  <c r="M80" i="2"/>
  <c r="L80" i="2"/>
  <c r="K80" i="2"/>
  <c r="J80" i="2"/>
  <c r="I80" i="2"/>
  <c r="H80" i="2"/>
  <c r="G80" i="2"/>
  <c r="F80" i="2"/>
  <c r="E80" i="2"/>
  <c r="D80" i="2"/>
  <c r="C80" i="2"/>
  <c r="N69" i="2"/>
  <c r="M69" i="2"/>
  <c r="L69" i="2"/>
  <c r="K69" i="2"/>
  <c r="J69" i="2"/>
  <c r="I69" i="2"/>
  <c r="H69" i="2"/>
  <c r="G69" i="2"/>
  <c r="F69" i="2"/>
  <c r="E69" i="2"/>
  <c r="D69" i="2"/>
  <c r="C69" i="2"/>
  <c r="N60" i="2"/>
  <c r="M60" i="2"/>
  <c r="L60" i="2"/>
  <c r="K60" i="2"/>
  <c r="J60" i="2"/>
  <c r="I60" i="2"/>
  <c r="H60" i="2"/>
  <c r="G60" i="2"/>
  <c r="F60" i="2"/>
  <c r="E60" i="2"/>
  <c r="D60" i="2"/>
  <c r="C60" i="2"/>
  <c r="N54" i="2"/>
  <c r="M54" i="2"/>
  <c r="L54" i="2"/>
  <c r="K54" i="2"/>
  <c r="J54" i="2"/>
  <c r="I54" i="2"/>
  <c r="H54" i="2"/>
  <c r="G54" i="2"/>
  <c r="F54" i="2"/>
  <c r="E54" i="2"/>
  <c r="D54" i="2"/>
  <c r="C54" i="2"/>
  <c r="N48" i="2"/>
  <c r="M48" i="2"/>
  <c r="L48" i="2"/>
  <c r="K48" i="2"/>
  <c r="J48" i="2"/>
  <c r="I48" i="2"/>
  <c r="H48" i="2"/>
  <c r="G48" i="2"/>
  <c r="F48" i="2"/>
  <c r="E48" i="2"/>
  <c r="D48" i="2"/>
  <c r="C48" i="2"/>
  <c r="N38" i="2"/>
  <c r="M38" i="2"/>
  <c r="L38" i="2"/>
  <c r="K38" i="2"/>
  <c r="J38" i="2"/>
  <c r="I38" i="2"/>
  <c r="H38" i="2"/>
  <c r="G38" i="2"/>
  <c r="F38" i="2"/>
  <c r="E38" i="2"/>
  <c r="D38" i="2"/>
  <c r="C38" i="2"/>
  <c r="N32" i="2"/>
  <c r="N29" i="6" s="1"/>
  <c r="M32" i="2"/>
  <c r="M29" i="6" s="1"/>
  <c r="L32" i="2"/>
  <c r="L29" i="6" s="1"/>
  <c r="K32" i="2"/>
  <c r="K29" i="6" s="1"/>
  <c r="J32" i="2"/>
  <c r="J29" i="6" s="1"/>
  <c r="I32" i="2"/>
  <c r="I29" i="6" s="1"/>
  <c r="H32" i="2"/>
  <c r="H29" i="6" s="1"/>
  <c r="G32" i="2"/>
  <c r="G29" i="6" s="1"/>
  <c r="F32" i="2"/>
  <c r="F29" i="6" s="1"/>
  <c r="E32" i="2"/>
  <c r="E29" i="6" s="1"/>
  <c r="D32" i="2"/>
  <c r="D29" i="6" s="1"/>
  <c r="C32" i="2"/>
  <c r="N25" i="2"/>
  <c r="M25" i="2"/>
  <c r="L25" i="2"/>
  <c r="K25" i="2"/>
  <c r="J25" i="2"/>
  <c r="I25" i="2"/>
  <c r="H25" i="2"/>
  <c r="G25" i="2"/>
  <c r="F25" i="2"/>
  <c r="E25" i="2"/>
  <c r="D25" i="2"/>
  <c r="C25" i="2"/>
  <c r="N22" i="2"/>
  <c r="M22" i="2"/>
  <c r="L22" i="2"/>
  <c r="K22" i="2"/>
  <c r="J22" i="2"/>
  <c r="I22" i="2"/>
  <c r="H22" i="2"/>
  <c r="G22" i="2"/>
  <c r="F22" i="2"/>
  <c r="E22" i="2"/>
  <c r="D22" i="2"/>
  <c r="C22" i="2"/>
  <c r="N18" i="2"/>
  <c r="M18" i="2"/>
  <c r="L18" i="2"/>
  <c r="K18" i="2"/>
  <c r="J18" i="2"/>
  <c r="I18" i="2"/>
  <c r="H18" i="2"/>
  <c r="G18" i="2"/>
  <c r="F18" i="2"/>
  <c r="E18" i="2"/>
  <c r="D18" i="2"/>
  <c r="C18" i="2"/>
  <c r="C108" i="2" l="1"/>
  <c r="B30" i="6" s="1"/>
  <c r="C29" i="6"/>
  <c r="U19" i="3"/>
  <c r="C33" i="3"/>
  <c r="E33" i="3"/>
  <c r="D33" i="3"/>
  <c r="B33" i="3"/>
  <c r="F33" i="3"/>
  <c r="G33" i="3"/>
  <c r="H33" i="3"/>
  <c r="I33" i="3"/>
  <c r="J33" i="3"/>
  <c r="K33" i="3"/>
  <c r="L33" i="3"/>
  <c r="H32" i="3"/>
  <c r="I32" i="3"/>
  <c r="J32" i="3"/>
  <c r="L32" i="3"/>
  <c r="K32" i="3"/>
  <c r="U18" i="3"/>
  <c r="AA18" i="3" s="1"/>
  <c r="B32" i="3"/>
  <c r="C32" i="3"/>
  <c r="D32" i="3"/>
  <c r="E32" i="3"/>
  <c r="F32" i="3"/>
  <c r="G32" i="3"/>
  <c r="B31" i="3"/>
  <c r="C31" i="3"/>
  <c r="U17" i="3"/>
  <c r="H31" i="3"/>
  <c r="D31" i="3"/>
  <c r="E31" i="3"/>
  <c r="G31" i="3"/>
  <c r="I31" i="3"/>
  <c r="K31" i="3"/>
  <c r="J31" i="3"/>
  <c r="F31" i="3"/>
  <c r="L31" i="3"/>
  <c r="E30" i="3"/>
  <c r="K30" i="3"/>
  <c r="L30" i="3"/>
  <c r="B30" i="3"/>
  <c r="C30" i="3"/>
  <c r="D30" i="3"/>
  <c r="U16" i="3"/>
  <c r="F30" i="3"/>
  <c r="G30" i="3"/>
  <c r="H30" i="3"/>
  <c r="I30" i="3"/>
  <c r="J30" i="3"/>
  <c r="E29" i="3"/>
  <c r="D29" i="3"/>
  <c r="C29" i="3"/>
  <c r="B29" i="3"/>
  <c r="F29" i="3"/>
  <c r="G29" i="3"/>
  <c r="I29" i="3"/>
  <c r="J29" i="3"/>
  <c r="K29" i="3"/>
  <c r="L29" i="3"/>
  <c r="H29" i="3"/>
  <c r="U15" i="3"/>
  <c r="K28" i="3"/>
  <c r="D28" i="3"/>
  <c r="E28" i="3"/>
  <c r="I28" i="3"/>
  <c r="G28" i="3"/>
  <c r="F28" i="3"/>
  <c r="H28" i="3"/>
  <c r="J28" i="3"/>
  <c r="U14" i="3"/>
  <c r="B28" i="3"/>
  <c r="L28" i="3"/>
  <c r="C28" i="3"/>
  <c r="L27" i="3"/>
  <c r="J27" i="3"/>
  <c r="I27" i="3"/>
  <c r="H27" i="3"/>
  <c r="G27" i="3"/>
  <c r="F27" i="3"/>
  <c r="D27" i="3"/>
  <c r="E27" i="3"/>
  <c r="B27" i="3"/>
  <c r="C27" i="3"/>
  <c r="K27" i="3"/>
  <c r="U13" i="3"/>
  <c r="K26" i="3"/>
  <c r="F26" i="3"/>
  <c r="B26" i="3"/>
  <c r="G26" i="3"/>
  <c r="L26" i="3"/>
  <c r="I26" i="3"/>
  <c r="C26" i="3"/>
  <c r="D26" i="3"/>
  <c r="E26" i="3"/>
  <c r="U12" i="3"/>
  <c r="J26" i="3"/>
  <c r="H26" i="3"/>
  <c r="B25" i="3"/>
  <c r="E25" i="3"/>
  <c r="I25" i="3"/>
  <c r="L25" i="3"/>
  <c r="U11" i="3"/>
  <c r="K25" i="3"/>
  <c r="H25" i="3"/>
  <c r="F25" i="3"/>
  <c r="J25" i="3"/>
  <c r="D25" i="3"/>
  <c r="C25" i="3"/>
  <c r="G25" i="3"/>
  <c r="U10" i="3"/>
  <c r="L24" i="3"/>
  <c r="K24" i="3"/>
  <c r="J24" i="3"/>
  <c r="I24" i="3"/>
  <c r="H24" i="3"/>
  <c r="G24" i="3"/>
  <c r="F24" i="3"/>
  <c r="E24" i="3"/>
  <c r="D24" i="3"/>
  <c r="C24" i="3"/>
  <c r="B24" i="3"/>
  <c r="V15" i="3"/>
  <c r="W10" i="3"/>
  <c r="Y10" i="3"/>
  <c r="AA10" i="3"/>
  <c r="V11" i="3"/>
  <c r="W11" i="3"/>
  <c r="X11" i="3"/>
  <c r="Y11" i="3"/>
  <c r="Z11" i="3"/>
  <c r="AA11" i="3"/>
  <c r="W12" i="3"/>
  <c r="Y12" i="3"/>
  <c r="Z12" i="3"/>
  <c r="V14" i="3"/>
  <c r="W14" i="3"/>
  <c r="X14" i="3"/>
  <c r="Y14" i="3"/>
  <c r="Z14" i="3"/>
  <c r="AA14" i="3"/>
  <c r="F50" i="3"/>
  <c r="F55" i="3" s="1"/>
  <c r="C50" i="4" s="1"/>
  <c r="F49" i="3"/>
  <c r="F48" i="3"/>
  <c r="F47" i="3"/>
  <c r="F40" i="3"/>
  <c r="F39" i="3"/>
  <c r="F41" i="3" s="1"/>
  <c r="F42" i="3" s="1"/>
  <c r="F38" i="3"/>
  <c r="Y18" i="3"/>
  <c r="AA13" i="3"/>
  <c r="Z13" i="3"/>
  <c r="Y13" i="3"/>
  <c r="X13" i="3"/>
  <c r="Y16" i="3"/>
  <c r="X18" i="3"/>
  <c r="W18" i="3"/>
  <c r="V18" i="3"/>
  <c r="V13" i="3"/>
  <c r="X16" i="3"/>
  <c r="Z16" i="3"/>
  <c r="W16" i="3"/>
  <c r="V17" i="3"/>
  <c r="W17" i="3"/>
  <c r="X17" i="3"/>
  <c r="Y17" i="3"/>
  <c r="Z17" i="3"/>
  <c r="AA17" i="3"/>
  <c r="Z18" i="3"/>
  <c r="V16" i="3"/>
  <c r="AA15" i="3"/>
  <c r="W13" i="3"/>
  <c r="AA19" i="3"/>
  <c r="Z19" i="3"/>
  <c r="Y19" i="3"/>
  <c r="X19" i="3"/>
  <c r="W19" i="3"/>
  <c r="V19" i="3"/>
  <c r="AA16" i="3"/>
  <c r="AA12" i="3"/>
  <c r="X12" i="3"/>
  <c r="V12" i="3"/>
  <c r="Z10" i="3"/>
  <c r="X10" i="3"/>
  <c r="V10" i="3"/>
  <c r="D22" i="4"/>
  <c r="C22" i="4"/>
  <c r="D14" i="4"/>
  <c r="D12" i="4"/>
  <c r="C12" i="4"/>
  <c r="X9" i="8"/>
  <c r="X8" i="8"/>
  <c r="B8" i="8"/>
  <c r="X7" i="8"/>
  <c r="X6" i="8"/>
  <c r="D15" i="6"/>
  <c r="C15" i="6"/>
  <c r="D43" i="4"/>
  <c r="C43" i="4"/>
  <c r="D42" i="4"/>
  <c r="C42" i="4"/>
  <c r="D41" i="4"/>
  <c r="C41" i="4"/>
  <c r="D40" i="4"/>
  <c r="C40" i="4"/>
  <c r="D39" i="4"/>
  <c r="C39" i="4"/>
  <c r="D35" i="4"/>
  <c r="D18" i="6" s="1"/>
  <c r="C35" i="4"/>
  <c r="D34" i="4"/>
  <c r="D17" i="6" s="1"/>
  <c r="C34" i="4"/>
  <c r="D33" i="4"/>
  <c r="D16" i="6" s="1"/>
  <c r="C33" i="4"/>
  <c r="D32" i="4"/>
  <c r="D14" i="6" s="1"/>
  <c r="C32" i="4"/>
  <c r="D31" i="4"/>
  <c r="D13" i="6" s="1"/>
  <c r="C31" i="4"/>
  <c r="D30" i="4"/>
  <c r="D12" i="6" s="1"/>
  <c r="C30" i="4"/>
  <c r="C102" i="2"/>
  <c r="C111" i="2" s="1"/>
  <c r="E31" i="4" s="1"/>
  <c r="E13" i="6" s="1"/>
  <c r="C101" i="2"/>
  <c r="A3" i="8" s="1"/>
  <c r="C83" i="2"/>
  <c r="C95" i="2"/>
  <c r="C85" i="2" s="1"/>
  <c r="N82" i="2"/>
  <c r="N95" i="2"/>
  <c r="N94" i="2"/>
  <c r="M82" i="2"/>
  <c r="M95" i="2"/>
  <c r="M94" i="2"/>
  <c r="L82" i="2"/>
  <c r="L95" i="2"/>
  <c r="L85" i="2" s="1"/>
  <c r="L94" i="2"/>
  <c r="K95" i="2"/>
  <c r="K85" i="2" s="1"/>
  <c r="K94" i="2"/>
  <c r="K82" i="2"/>
  <c r="J95" i="2"/>
  <c r="J85" i="2" s="1"/>
  <c r="J94" i="2"/>
  <c r="J82" i="2"/>
  <c r="I95" i="2"/>
  <c r="I85" i="2" s="1"/>
  <c r="I82" i="2"/>
  <c r="I94" i="2"/>
  <c r="H94" i="2"/>
  <c r="H95" i="2"/>
  <c r="H85" i="2" s="1"/>
  <c r="H82" i="2"/>
  <c r="G82" i="2"/>
  <c r="G95" i="2"/>
  <c r="G85" i="2" s="1"/>
  <c r="G94" i="2"/>
  <c r="F82" i="2"/>
  <c r="F94" i="2"/>
  <c r="F95" i="2"/>
  <c r="F85" i="2" s="1"/>
  <c r="E95" i="2"/>
  <c r="E85" i="2" s="1"/>
  <c r="E82" i="2"/>
  <c r="E94" i="2"/>
  <c r="D95" i="2"/>
  <c r="D85" i="2" s="1"/>
  <c r="D94" i="2"/>
  <c r="D82" i="2"/>
  <c r="N55" i="4"/>
  <c r="N28" i="6"/>
  <c r="N33" i="2"/>
  <c r="M33" i="2"/>
  <c r="M106" i="2"/>
  <c r="M28" i="6"/>
  <c r="M55" i="4"/>
  <c r="L55" i="4"/>
  <c r="L33" i="2"/>
  <c r="L106" i="2"/>
  <c r="L28" i="6"/>
  <c r="K28" i="6"/>
  <c r="K55" i="4"/>
  <c r="K33" i="2"/>
  <c r="J28" i="6"/>
  <c r="J55" i="4"/>
  <c r="J33" i="2"/>
  <c r="I55" i="4"/>
  <c r="I33" i="2"/>
  <c r="I106" i="2" s="1"/>
  <c r="I28" i="6"/>
  <c r="H28" i="6"/>
  <c r="H55" i="4"/>
  <c r="H33" i="2"/>
  <c r="G55" i="4"/>
  <c r="G28" i="6"/>
  <c r="G33" i="2"/>
  <c r="F55" i="4"/>
  <c r="F28" i="6"/>
  <c r="F33" i="2"/>
  <c r="E28" i="6"/>
  <c r="E55" i="4"/>
  <c r="E33" i="2"/>
  <c r="D28" i="6"/>
  <c r="D55" i="4"/>
  <c r="D33" i="2"/>
  <c r="C55" i="4"/>
  <c r="C28" i="6"/>
  <c r="C33" i="2"/>
  <c r="G50" i="4" l="1"/>
  <c r="F51" i="3"/>
  <c r="F53" i="3" s="1"/>
  <c r="C47" i="4" s="1"/>
  <c r="G47" i="4" s="1"/>
  <c r="F52" i="3"/>
  <c r="F54" i="3" s="1"/>
  <c r="C17" i="6"/>
  <c r="G11" i="8"/>
  <c r="C12" i="6"/>
  <c r="B11" i="8"/>
  <c r="D10" i="2"/>
  <c r="N85" i="2"/>
  <c r="N34" i="2"/>
  <c r="N56" i="4"/>
  <c r="N49" i="2"/>
  <c r="M34" i="2"/>
  <c r="M56" i="4"/>
  <c r="M49" i="2"/>
  <c r="L34" i="2"/>
  <c r="L56" i="4"/>
  <c r="L49" i="2"/>
  <c r="K34" i="2"/>
  <c r="K56" i="4"/>
  <c r="K49" i="2"/>
  <c r="J34" i="2"/>
  <c r="J56" i="4"/>
  <c r="J49" i="2"/>
  <c r="I34" i="2"/>
  <c r="I56" i="4"/>
  <c r="I49" i="2"/>
  <c r="H34" i="2"/>
  <c r="H56" i="4"/>
  <c r="H49" i="2"/>
  <c r="G34" i="2"/>
  <c r="G56" i="4"/>
  <c r="G49" i="2"/>
  <c r="F34" i="2"/>
  <c r="F56" i="4"/>
  <c r="F49" i="2"/>
  <c r="E34" i="2"/>
  <c r="E56" i="4"/>
  <c r="E49" i="2"/>
  <c r="D34" i="2"/>
  <c r="D56" i="4"/>
  <c r="D49" i="2"/>
  <c r="C34" i="2"/>
  <c r="C56" i="4"/>
  <c r="C49" i="2"/>
  <c r="T11" i="3"/>
  <c r="B57" i="3"/>
  <c r="X15" i="3"/>
  <c r="L65" i="3" s="1"/>
  <c r="Z15" i="3"/>
  <c r="Y15" i="3"/>
  <c r="W15" i="3"/>
  <c r="L63" i="3"/>
  <c r="L62" i="3"/>
  <c r="F62" i="3"/>
  <c r="F63" i="3"/>
  <c r="L64" i="3"/>
  <c r="F65" i="3"/>
  <c r="F64" i="3"/>
  <c r="F61" i="3"/>
  <c r="L61" i="3"/>
  <c r="E22" i="4"/>
  <c r="G22" i="4"/>
  <c r="B7" i="8"/>
  <c r="C13" i="4"/>
  <c r="G13" i="4" s="1"/>
  <c r="G12" i="4"/>
  <c r="E12" i="4"/>
  <c r="G15" i="6"/>
  <c r="E15" i="6"/>
  <c r="G43" i="4"/>
  <c r="E43" i="4"/>
  <c r="E42" i="4"/>
  <c r="G42" i="4"/>
  <c r="L11" i="8"/>
  <c r="E41" i="4"/>
  <c r="C12" i="7" s="1"/>
  <c r="G41" i="4"/>
  <c r="E40" i="4"/>
  <c r="G40" i="4"/>
  <c r="G39" i="4"/>
  <c r="E39" i="4"/>
  <c r="C18" i="6"/>
  <c r="G35" i="4"/>
  <c r="G18" i="6" s="1"/>
  <c r="E35" i="4"/>
  <c r="E18" i="6" s="1"/>
  <c r="G34" i="4"/>
  <c r="G17" i="6" s="1"/>
  <c r="E34" i="4"/>
  <c r="C55" i="8" s="1"/>
  <c r="C16" i="6"/>
  <c r="G33" i="4"/>
  <c r="G16" i="6" s="1"/>
  <c r="E33" i="4"/>
  <c r="E16" i="6" s="1"/>
  <c r="C14" i="6"/>
  <c r="G32" i="4"/>
  <c r="G14" i="6" s="1"/>
  <c r="E32" i="4"/>
  <c r="E14" i="6" s="1"/>
  <c r="C13" i="6"/>
  <c r="G31" i="4"/>
  <c r="G13" i="6" s="1"/>
  <c r="G30" i="4"/>
  <c r="G12" i="6" s="1"/>
  <c r="E30" i="4"/>
  <c r="E12" i="6" s="1"/>
  <c r="C25" i="4"/>
  <c r="C16" i="4"/>
  <c r="C21" i="4"/>
  <c r="C14" i="4"/>
  <c r="C15" i="4"/>
  <c r="C23" i="4"/>
  <c r="C24" i="4"/>
  <c r="M85" i="2"/>
  <c r="D25" i="4"/>
  <c r="D21" i="4"/>
  <c r="D23" i="4"/>
  <c r="D24" i="4"/>
  <c r="N106" i="2"/>
  <c r="K106" i="2"/>
  <c r="J106" i="2"/>
  <c r="H106" i="2"/>
  <c r="G106" i="2"/>
  <c r="F106" i="2"/>
  <c r="E106" i="2"/>
  <c r="D106" i="2"/>
  <c r="C106" i="2"/>
  <c r="L32" i="8" l="1"/>
  <c r="F56" i="3"/>
  <c r="C48" i="4"/>
  <c r="G48" i="4" s="1"/>
  <c r="B8" i="4"/>
  <c r="B8" i="6"/>
  <c r="N57" i="4"/>
  <c r="N50" i="2"/>
  <c r="N107" i="2" s="1"/>
  <c r="N56" i="2"/>
  <c r="N58" i="4"/>
  <c r="D15" i="4"/>
  <c r="M57" i="4"/>
  <c r="D16" i="4"/>
  <c r="M50" i="2"/>
  <c r="M56" i="2"/>
  <c r="M58" i="4"/>
  <c r="L57" i="4"/>
  <c r="L50" i="2"/>
  <c r="L56" i="2"/>
  <c r="L58" i="4"/>
  <c r="K57" i="4"/>
  <c r="K50" i="2"/>
  <c r="K107" i="2" s="1"/>
  <c r="K56" i="2"/>
  <c r="K58" i="4"/>
  <c r="J57" i="4"/>
  <c r="J50" i="2"/>
  <c r="J107" i="2" s="1"/>
  <c r="J56" i="2"/>
  <c r="J58" i="4"/>
  <c r="I57" i="4"/>
  <c r="I50" i="2"/>
  <c r="I56" i="2"/>
  <c r="I58" i="4"/>
  <c r="H57" i="4"/>
  <c r="H50" i="2"/>
  <c r="H107" i="2" s="1"/>
  <c r="H56" i="2"/>
  <c r="H58" i="4"/>
  <c r="G107" i="2"/>
  <c r="G57" i="4"/>
  <c r="G50" i="2"/>
  <c r="G56" i="2"/>
  <c r="G58" i="4"/>
  <c r="F57" i="4"/>
  <c r="F50" i="2"/>
  <c r="F107" i="2" s="1"/>
  <c r="F56" i="2"/>
  <c r="F58" i="4"/>
  <c r="E57" i="4"/>
  <c r="E50" i="2"/>
  <c r="E107" i="2" s="1"/>
  <c r="E56" i="2"/>
  <c r="E58" i="4"/>
  <c r="D57" i="4"/>
  <c r="D50" i="2"/>
  <c r="D107" i="2" s="1"/>
  <c r="D56" i="2"/>
  <c r="D58" i="4"/>
  <c r="C57" i="4"/>
  <c r="C50" i="2"/>
  <c r="C107" i="2" s="1"/>
  <c r="C56" i="2"/>
  <c r="C58" i="4"/>
  <c r="E25" i="4"/>
  <c r="G25" i="4"/>
  <c r="G16" i="4"/>
  <c r="E16" i="4"/>
  <c r="L7" i="8"/>
  <c r="E21" i="4"/>
  <c r="G21" i="4"/>
  <c r="E14" i="4"/>
  <c r="G14" i="4"/>
  <c r="E15" i="4"/>
  <c r="G15" i="4"/>
  <c r="C9" i="7" s="1"/>
  <c r="G7" i="8"/>
  <c r="E23" i="4"/>
  <c r="G23" i="4"/>
  <c r="E24" i="4"/>
  <c r="G24" i="4"/>
  <c r="C109" i="2"/>
  <c r="B14" i="8" s="1"/>
  <c r="E17" i="6"/>
  <c r="C11" i="7"/>
  <c r="C51" i="8"/>
  <c r="C13" i="7"/>
  <c r="C54" i="8"/>
  <c r="C53" i="8" l="1"/>
  <c r="C10" i="7"/>
  <c r="C49" i="4"/>
  <c r="G49" i="4" s="1"/>
  <c r="Q11" i="8"/>
  <c r="N104" i="2"/>
  <c r="C17" i="4"/>
  <c r="N59" i="4"/>
  <c r="D17" i="4"/>
  <c r="M59" i="4"/>
  <c r="K104" i="2"/>
  <c r="K59" i="4"/>
  <c r="J104" i="2"/>
  <c r="J59" i="4"/>
  <c r="H104" i="2"/>
  <c r="H59" i="4"/>
  <c r="G104" i="2"/>
  <c r="G59" i="4"/>
  <c r="F104" i="2"/>
  <c r="F59" i="4"/>
  <c r="E104" i="2"/>
  <c r="E59" i="4"/>
  <c r="D104" i="2"/>
  <c r="D59" i="4"/>
  <c r="C104" i="2"/>
  <c r="C59" i="4"/>
  <c r="M104" i="2"/>
  <c r="M107" i="2"/>
  <c r="L59" i="4"/>
  <c r="L107" i="2"/>
  <c r="L104" i="2"/>
  <c r="I59" i="4"/>
  <c r="I104" i="2"/>
  <c r="I107" i="2"/>
  <c r="C110" i="2" s="1"/>
  <c r="L14" i="8" s="1"/>
  <c r="B56" i="8" l="1"/>
  <c r="Q7" i="8"/>
  <c r="G17" i="4"/>
  <c r="E17" i="4"/>
  <c r="C52" i="8"/>
  <c r="C103" i="2"/>
  <c r="B61" i="4" s="1"/>
</calcChain>
</file>

<file path=xl/sharedStrings.xml><?xml version="1.0" encoding="utf-8"?>
<sst xmlns="http://schemas.openxmlformats.org/spreadsheetml/2006/main" count="529" uniqueCount="402">
  <si>
    <t>VERTEX STRATEGIC FINANCE</t>
  </si>
  <si>
    <t>Contractor KPI Scorecard</t>
  </si>
  <si>
    <t>Understand the financial drivers behind your jobs, margins, cash flow and business performance.</t>
  </si>
  <si>
    <t>What This Scorecard Does</t>
  </si>
  <si>
    <t>This scorecard helps owner-led contractors and trades businesses see the financial position of the work they are already doing. It is a financial management and decision-support tool — not an accounting system, an estimating system, a project-management platform or an industry benchmarking report.</t>
  </si>
  <si>
    <t>—    Track financial performance month over month</t>
  </si>
  <si>
    <t>—    Understand gross profit and gross margin</t>
  </si>
  <si>
    <t>—    Monitor major direct-cost categories</t>
  </si>
  <si>
    <t>—    Compare estimated and actual job profitability</t>
  </si>
  <si>
    <t>—    Monitor accounts receivable, accounts payable and cash</t>
  </si>
  <si>
    <t>—    Understand backlog and job activity</t>
  </si>
  <si>
    <t>—    Compare results against your own targets</t>
  </si>
  <si>
    <t>—    Identify areas worth investigating</t>
  </si>
  <si>
    <t>How to Use It</t>
  </si>
  <si>
    <t>1.    Enter monthly financial and operational data.    (MONTHLY INPUTS tab)</t>
  </si>
  <si>
    <t>2.    Enter recent or active job performance.    (JOB PERFORMANCE tab)</t>
  </si>
  <si>
    <t>3.    Set your own KPI targets.    (KPI TARGETS tab)</t>
  </si>
  <si>
    <t>4.    Review KPI trends and working capital.    (KPI ANALYSIS and WORKING CAPITAL tabs)</t>
  </si>
  <si>
    <t>5.    Identify the questions worth investigating.    (ACTION PLAN and EXECUTIVE DASHBOARD tabs)</t>
  </si>
  <si>
    <t>Enter 0 when a required category legitimately has no activity. Leave a required input blank only when the information has not yet been entered. Blank required inputs are treated as incomplete information, not zero.</t>
  </si>
  <si>
    <t>Targets in this workbook are user-defined planning goals, not industry benchmarks or recommendations. This scorecard uses user-defined targets and does not provide contractor-industry benchmarks.</t>
  </si>
  <si>
    <t>All sample data is fictional and provided for demonstration purposes only. Replace every figure with your own information.</t>
  </si>
  <si>
    <t>Reading the Workbook</t>
  </si>
  <si>
    <t>Input</t>
  </si>
  <si>
    <t>Shaded cells are yours to change. Type over the example figures with your own.</t>
  </si>
  <si>
    <t>Formula</t>
  </si>
  <si>
    <t>Unshaded cells calculate automatically. Sheets are protected without a password — use Review › Unprotect Sheet if you need to edit them.</t>
  </si>
  <si>
    <t>Incomplete Inputs</t>
  </si>
  <si>
    <t>A figure the calculation needs has not been entered. A blank cell means not entered; it is never treated as zero. Enter 0 where the real answer is zero.</t>
  </si>
  <si>
    <t>Incomplete Job Inputs</t>
  </si>
  <si>
    <t>One or more job rows have some information entered but not all of it. Affected job totals and rankings are withheld until those rows are completed or cleared.</t>
  </si>
  <si>
    <t>N/M</t>
  </si>
  <si>
    <t>Not meaningful — the figures entered leave the measure undefined, such as a margin on revenue of zero.</t>
  </si>
  <si>
    <t>Set Target</t>
  </si>
  <si>
    <t>The target this comparison needs has not been entered on the KPI TARGETS tab.</t>
  </si>
  <si>
    <t>Context Dependent</t>
  </si>
  <si>
    <t>There is no universally correct direction for this measure. It is reported, not scored.</t>
  </si>
  <si>
    <t>Monitor</t>
  </si>
  <si>
    <t>Worth watching in the context of your own capacity, pipeline and plans.</t>
  </si>
  <si>
    <t>Definitions</t>
  </si>
  <si>
    <t>Term</t>
  </si>
  <si>
    <t>What it means</t>
  </si>
  <si>
    <t>Gross Profit</t>
  </si>
  <si>
    <t>Revenue less the direct job costs entered in this workbook.</t>
  </si>
  <si>
    <t>Gross Margin %</t>
  </si>
  <si>
    <t>Gross Profit divided by Revenue.</t>
  </si>
  <si>
    <t>Operating Profit</t>
  </si>
  <si>
    <t>Gross Profit less the operating and overhead costs entered here. It is not net income: it excludes items this scorecard does not capture, among them depreciation, interest and taxes.</t>
  </si>
  <si>
    <t>Owner Draws / Distributions</t>
  </si>
  <si>
    <t>Distributions to owners. They are not operating expenses and do not reduce operating profit. They are entered separately and never deducted from gross profit or operating profit.</t>
  </si>
  <si>
    <t>Backlog</t>
  </si>
  <si>
    <t>Contracted work not yet recognised as revenue, based on the amount you enter. Backlog is not cash, and it is not guaranteed future profit.</t>
  </si>
  <si>
    <t>Cost Variance</t>
  </si>
  <si>
    <t>Actual or current direct job cost less estimated direct job cost. A positive variance means costs are above estimate; a negative variance means costs are below estimate.</t>
  </si>
  <si>
    <t>Margin Variance</t>
  </si>
  <si>
    <t>Actual or current gross margin % less estimated gross margin %, expressed in percentage points. Positive means margin above estimate; negative means margin below estimate.</t>
  </si>
  <si>
    <t>Approximate A/R Days</t>
  </si>
  <si>
    <t>Accounts receivable divided by revenue for the reporting month, multiplied by 30.4 days. An approximation from a single month, not a rolling average.</t>
  </si>
  <si>
    <t>Cash Coverage</t>
  </si>
  <si>
    <t>Ending cash divided by total operating cost for the reporting month — direct job costs plus overhead. Expressed in months.</t>
  </si>
  <si>
    <t>Current Ratio</t>
  </si>
  <si>
    <t>Current assets divided by current liabilities, as entered.</t>
  </si>
  <si>
    <t>Important.  This resource is provided for general informational and planning purposes only and does not constitute accounting, tax, legal, construction-law, investment or financial advice, and no assurance of any kind is provided. This workbook does not perform percentage-of-completion accounting, work-in-progress accounting or revenue recognition, and it does not model statutory holdback or retainage requirements, which vary by jurisdiction and circumstance. Results for jobs in progress are based only on the costs entered and may change. Nothing here is a professional opinion on the financial condition or performance of any business.</t>
  </si>
  <si>
    <t>Vertex Strategic Finance</t>
  </si>
  <si>
    <t>CPA-Led Accounting &amp; Advisory for Owner-Led Businesses</t>
  </si>
  <si>
    <t>www.vertexstrategicfinance.ca    |    info@vertexstrategicfinance.ca</t>
  </si>
  <si>
    <t>Monthly Inputs</t>
  </si>
  <si>
    <t>FICTIONAL EXAMPLE DATA — FOR DEMONSTRATION ONLY</t>
  </si>
  <si>
    <t>Twelve months of financial and operating data. Everything else in this workbook is calculated from this tab.</t>
  </si>
  <si>
    <t>Shaded cells are yours to fill in. Enter 0 when a required category legitimately had no activity in that month. Leave a required cell blank only when the information has not yet been entered — a blank is treated as missing information, never as zero.</t>
  </si>
  <si>
    <t>REPORTING PERIOD</t>
  </si>
  <si>
    <t>Business Name</t>
  </si>
  <si>
    <t>Northfield Contracting Ltd. — Fictional Example</t>
  </si>
  <si>
    <t>Reporting Period Label</t>
  </si>
  <si>
    <t>Fiscal Year 2025</t>
  </si>
  <si>
    <t>Reporting Month  (enter 1 – 12)</t>
  </si>
  <si>
    <t>MONTH SETUP</t>
  </si>
  <si>
    <t>Month Label</t>
  </si>
  <si>
    <t>Jan 2025</t>
  </si>
  <si>
    <t>Feb 2025</t>
  </si>
  <si>
    <t>Mar 2025</t>
  </si>
  <si>
    <t>Apr 2025</t>
  </si>
  <si>
    <t>May 2025</t>
  </si>
  <si>
    <t>Jun 2025</t>
  </si>
  <si>
    <t>Jul 2025</t>
  </si>
  <si>
    <t>Aug 2025</t>
  </si>
  <si>
    <t>Sep 2025</t>
  </si>
  <si>
    <t>Oct 2025</t>
  </si>
  <si>
    <t>Nov 2025</t>
  </si>
  <si>
    <t>Dec 2025</t>
  </si>
  <si>
    <t>Month Completed?  (Yes / No)</t>
  </si>
  <si>
    <t>Yes</t>
  </si>
  <si>
    <t>A month is available for reporting when you mark it Yes. A completed month with no revenue is legitimate and is reported as zero revenue, not as missing information.</t>
  </si>
  <si>
    <t>REVENUE      REQUIRED FOR PROFITABILITY</t>
  </si>
  <si>
    <t>Line item</t>
  </si>
  <si>
    <t>Contract / Project Revenue</t>
  </si>
  <si>
    <t>Service / Maintenance Revenue</t>
  </si>
  <si>
    <t>Other Operating Revenue</t>
  </si>
  <si>
    <t>Total Revenue</t>
  </si>
  <si>
    <t>DIRECT JOB COSTS      REQUIRED FOR PROFITABILITY</t>
  </si>
  <si>
    <t>Direct Labour</t>
  </si>
  <si>
    <t>Subcontractors</t>
  </si>
  <si>
    <t>Materials</t>
  </si>
  <si>
    <t>Equipment / Rentals</t>
  </si>
  <si>
    <t>Permits / Direct Project Fees</t>
  </si>
  <si>
    <t>Other Direct Job Costs</t>
  </si>
  <si>
    <t>Total Direct Job Costs</t>
  </si>
  <si>
    <t>Gross Profit is Total Revenue less Total Direct Job Costs as entered here. Where revenue is zero, Gross Margin % reads N/M because the measure is undefined.</t>
  </si>
  <si>
    <t>OPERATING / OVERHEAD COSTS      REQUIRED FOR OPERATING PROFIT</t>
  </si>
  <si>
    <t>Administrative Payroll</t>
  </si>
  <si>
    <t>Rent / Occupancy</t>
  </si>
  <si>
    <t>Vehicles / Fleet</t>
  </si>
  <si>
    <t>Insurance</t>
  </si>
  <si>
    <t>Software / Subscriptions</t>
  </si>
  <si>
    <t>Marketing</t>
  </si>
  <si>
    <t>Professional Fees</t>
  </si>
  <si>
    <t>Office / Administrative</t>
  </si>
  <si>
    <t>Other Overhead</t>
  </si>
  <si>
    <t>Total Operating / Overhead Costs</t>
  </si>
  <si>
    <t>Operating Margin %</t>
  </si>
  <si>
    <t>Operating Profit is Gross Profit less the overhead entered above. It is not net income — it excludes items this scorecard does not capture, among them depreciation, interest and taxes.</t>
  </si>
  <si>
    <t>OWNER DISTRIBUTIONS      NOT AN OPERATING EXPENSE</t>
  </si>
  <si>
    <t>Operating Profit Less Owner Distributions</t>
  </si>
  <si>
    <t>Owner draws and distributions are not operating expenses and do not reduce accounting operating profit. They are entered here only so the line below can be shown. Operating Profit Less Owner Distributions is a planning measure — it is not profit and it is not cash flow.</t>
  </si>
  <si>
    <t>CASH AND WORKING CAPITAL</t>
  </si>
  <si>
    <t>Ending Cash</t>
  </si>
  <si>
    <t>Accounts Receivable</t>
  </si>
  <si>
    <t>Accounts Payable</t>
  </si>
  <si>
    <t>Current Assets</t>
  </si>
  <si>
    <t>Current Liabilities</t>
  </si>
  <si>
    <t>Current Assets and Current Liabilities should be the totals from your balance sheet, including the cash, receivables and payables entered above.</t>
  </si>
  <si>
    <t>OPERATING ACTIVITY</t>
  </si>
  <si>
    <t>Jobs Started</t>
  </si>
  <si>
    <t>Jobs Completed</t>
  </si>
  <si>
    <t>Jobs in Progress at Month End</t>
  </si>
  <si>
    <t>Backlog  (contracted work not yet revenue)</t>
  </si>
  <si>
    <t>Approved Change Orders</t>
  </si>
  <si>
    <t>Quotes / Estimates Issued  (optional)</t>
  </si>
  <si>
    <t>Quotes / Estimates Won  (optional)</t>
  </si>
  <si>
    <t>Quotes issued and quotes won are optional. Leaving them blank does not block any other calculation in this workbook; quote conversion simply reports N/M. Backlog is contracted work not yet recognised as revenue — it is not cash and not guaranteed profit.</t>
  </si>
  <si>
    <t>MONTH INPUT STATUS</t>
  </si>
  <si>
    <t>Input group</t>
  </si>
  <si>
    <t>Revenue Inputs</t>
  </si>
  <si>
    <t>Direct Job Cost Inputs</t>
  </si>
  <si>
    <t>Overhead Inputs</t>
  </si>
  <si>
    <t>Cash / Working Capital Inputs</t>
  </si>
  <si>
    <t>Profitability Assessment</t>
  </si>
  <si>
    <t>Profitability Assessment is complete only when all three revenue lines, all six direct job cost lines and all nine overhead lines are entered for that month. Until then the workbook reports Incomplete Inputs rather than an artificially favourable result.</t>
  </si>
  <si>
    <t>Vertex Strategic Finance  |  FICTIONAL EXAMPLE DATA — FOR DEMONSTRATION ONLY.  Replace every figure above with your own information.</t>
  </si>
  <si>
    <t>Completeness flags used across the workbook</t>
  </si>
  <si>
    <t>revenue ok</t>
  </si>
  <si>
    <t>direct ok</t>
  </si>
  <si>
    <t>overhead ok</t>
  </si>
  <si>
    <t>gross ok</t>
  </si>
  <si>
    <t>profit ok</t>
  </si>
  <si>
    <t>working capital ok</t>
  </si>
  <si>
    <t>month marked complete</t>
  </si>
  <si>
    <t>reporting month valid</t>
  </si>
  <si>
    <t>reporting month marked complete</t>
  </si>
  <si>
    <t>prior month marked complete</t>
  </si>
  <si>
    <t>provisional months in the KPI trend</t>
  </si>
  <si>
    <t>contributes to the KPI trend block</t>
  </si>
  <si>
    <t>contributes to the working capital trend</t>
  </si>
  <si>
    <t>contributes to dashboard chart 1</t>
  </si>
  <si>
    <t>contributes to dashboard chart 2</t>
  </si>
  <si>
    <t>provisional months in the working capital trend</t>
  </si>
  <si>
    <t>provisional months in chart 1</t>
  </si>
  <si>
    <t>provisional months in chart 2</t>
  </si>
  <si>
    <t>prior-month comparison exists but prior month is incomplete</t>
  </si>
  <si>
    <t>Job Performance</t>
  </si>
  <si>
    <t>Up to ten recent or active jobs — estimated against actual or current direct costs.</t>
  </si>
  <si>
    <t>Enter each job on its own row. A job is included once all of its required fields are entered — name, status, contract value, approved change orders and all four estimated and all four actual or current cost lines. Enter 0 where a cost line is genuinely zero. A row left entirely blank is ignored; a row with some information but not all is marked Incomplete and the job totals below are withheld until it is completed or cleared.</t>
  </si>
  <si>
    <t>JOB INPUTS</t>
  </si>
  <si>
    <t>CONTRACT VALUE</t>
  </si>
  <si>
    <t>ESTIMATED DIRECT COSTS</t>
  </si>
  <si>
    <t>ACTUAL / CURRENT DIRECT COSTS</t>
  </si>
  <si>
    <t>any partial / complete count / completed count</t>
  </si>
  <si>
    <t>Job / Project Name</t>
  </si>
  <si>
    <t>Status</t>
  </si>
  <si>
    <t>Original Contract</t>
  </si>
  <si>
    <t>Revised Contract</t>
  </si>
  <si>
    <t>Est. Direct Labour</t>
  </si>
  <si>
    <t>Est. Sub-contractor</t>
  </si>
  <si>
    <t>Est. Material</t>
  </si>
  <si>
    <t>Est. Equipment / Other</t>
  </si>
  <si>
    <t>Est. Total Direct Cost</t>
  </si>
  <si>
    <t>Act. Direct Labour</t>
  </si>
  <si>
    <t>Act. Sub-contractor</t>
  </si>
  <si>
    <t>Act. Material</t>
  </si>
  <si>
    <t>Act. Equipment / Other</t>
  </si>
  <si>
    <t>Act. / Current Total Cost</t>
  </si>
  <si>
    <t>row state 1=complete 0=empty 2=partial</t>
  </si>
  <si>
    <t>completed job flag</t>
  </si>
  <si>
    <t>Harbourview Retail Fit-Out</t>
  </si>
  <si>
    <t>Complete</t>
  </si>
  <si>
    <t>Cedar Ridge Multi-Unit Renovation</t>
  </si>
  <si>
    <t>Riverbend Warehouse Expansion</t>
  </si>
  <si>
    <t>In Progress</t>
  </si>
  <si>
    <t>Northgate Roof Replacement</t>
  </si>
  <si>
    <t>Willowbrook Tenant Improvements</t>
  </si>
  <si>
    <t>Sunnyside Mechanical Upgrade</t>
  </si>
  <si>
    <t>Revised Contract Value is Original Contract Value plus Approved Change Orders. Only approved change orders should be included — potential or unapproved change orders do not belong in contract value. Status must read Complete or In Progress.</t>
  </si>
  <si>
    <t>JOB RESULTS</t>
  </si>
  <si>
    <t>Row Inputs</t>
  </si>
  <si>
    <t>Est. Gross Profit</t>
  </si>
  <si>
    <t>Est. Gross Margin %</t>
  </si>
  <si>
    <t>Act. / Current Gross Profit</t>
  </si>
  <si>
    <t>Act. / Current Margin %</t>
  </si>
  <si>
    <t>Cost Variance $</t>
  </si>
  <si>
    <t>Cost Variance %</t>
  </si>
  <si>
    <t>Margin Variance (pp)</t>
  </si>
  <si>
    <t>Basis of the result shown</t>
  </si>
  <si>
    <t>For a job marked Complete, the result is the actual outcome based on the costs entered. For a job In Progress, it is a current or projected figure based only on the costs entered so far and may change as further costs are incurred or the contract value changes. This workbook does not perform percentage-of-completion, work-in-progress or revenue-recognition accounting.</t>
  </si>
  <si>
    <t>PORTFOLIO TOTALS      ALL JOBS ENTERED</t>
  </si>
  <si>
    <t>Measure</t>
  </si>
  <si>
    <t>Value</t>
  </si>
  <si>
    <t>Basis</t>
  </si>
  <si>
    <t>Jobs Entered</t>
  </si>
  <si>
    <t>Rows where every required field is entered.</t>
  </si>
  <si>
    <t>Total Revised Contract Value</t>
  </si>
  <si>
    <t>Original contract value plus approved change orders, across the jobs entered.</t>
  </si>
  <si>
    <t>Total Estimated Direct Costs</t>
  </si>
  <si>
    <t>The four estimated cost lines, across the jobs entered.</t>
  </si>
  <si>
    <t>Total Estimated Gross Profit</t>
  </si>
  <si>
    <t>Total revised contract value less total estimated direct costs.</t>
  </si>
  <si>
    <t>Weighted Estimated Gross Margin %</t>
  </si>
  <si>
    <t>Total estimated gross profit divided by total revised contract value.</t>
  </si>
  <si>
    <t>This block includes every job row whose required fields are entered, whether the job is complete or in progress. It is a view of the estimated economics of the work entered, not a forecast of results.</t>
  </si>
  <si>
    <t>ESTIMATE VERSUS ACTUAL      COMPLETED JOBS ONLY</t>
  </si>
  <si>
    <t>Completed Jobs Entered</t>
  </si>
  <si>
    <t>Jobs marked Complete with every required field entered.</t>
  </si>
  <si>
    <t>Contract value of the completed jobs entered.</t>
  </si>
  <si>
    <t>Estimated cost of the same completed jobs.</t>
  </si>
  <si>
    <t>Total Actual Direct Costs</t>
  </si>
  <si>
    <t>Actual cost of the same completed jobs.</t>
  </si>
  <si>
    <t>Contract value less estimated cost, for completed jobs.</t>
  </si>
  <si>
    <t>Total Actual Gross Profit</t>
  </si>
  <si>
    <t>Contract value less actual cost, for completed jobs.</t>
  </si>
  <si>
    <t>Total estimated gross profit divided by total contract value — not an average of job margins.</t>
  </si>
  <si>
    <t>Weighted Actual Gross Margin %</t>
  </si>
  <si>
    <t>Total actual gross profit divided by total contract value.</t>
  </si>
  <si>
    <t>Total Cost Variance $</t>
  </si>
  <si>
    <t>Actual cost less estimated cost. Positive means costs above estimate.</t>
  </si>
  <si>
    <t>Weighted Margin Variance (pp)</t>
  </si>
  <si>
    <t>Weighted actual margin less weighted estimated margin, in percentage points.</t>
  </si>
  <si>
    <t>NEUTRAL OBSERVATIONS</t>
  </si>
  <si>
    <t>Observation</t>
  </si>
  <si>
    <t>Job / Project</t>
  </si>
  <si>
    <t>What the value is</t>
  </si>
  <si>
    <t>Largest Job by Revised Contract Value</t>
  </si>
  <si>
    <t>revised contract value</t>
  </si>
  <si>
    <t>Largest Favourable Cost Variance</t>
  </si>
  <si>
    <t>cost below estimate</t>
  </si>
  <si>
    <t>Largest Cost Overrun</t>
  </si>
  <si>
    <t>cost above estimate</t>
  </si>
  <si>
    <t>Largest Margin Improvement vs Estimate</t>
  </si>
  <si>
    <t>margin above estimate</t>
  </si>
  <si>
    <t>Largest Margin Decline vs Estimate</t>
  </si>
  <si>
    <t>margin below estimate</t>
  </si>
  <si>
    <t>These observations identify where the largest differences sit among the jobs entered. They do not say that any job is good or bad — a variance is a question to investigate, not a conclusion. Contract-value ranking covers every job entered; the variance rankings cover completed jobs only, and no job is named as favourable or unfavourable when the actual variance is zero.</t>
  </si>
  <si>
    <t>Vertex Strategic Finance  |  FICTIONAL EXAMPLE DATA — FOR DEMONSTRATION ONLY.  Replace these jobs with your own.</t>
  </si>
  <si>
    <t>KPI Analysis</t>
  </si>
  <si>
    <t>Current reporting period against your prior month and your own targets, with a twelve-month trend.</t>
  </si>
  <si>
    <t>Every figure here is calculated from the MONTHLY INPUTS and JOB PERFORMANCE tabs and compared with the targets you set on the KPI TARGETS tab. Targets are your own planning goals — this workbook publishes no contractor benchmarks and recommends no level for any measure.</t>
  </si>
  <si>
    <t>CURRENT REPORTING PERIOD</t>
  </si>
  <si>
    <t>REVENUE AND PROFITABILITY</t>
  </si>
  <si>
    <t>KPI</t>
  </si>
  <si>
    <t>Current</t>
  </si>
  <si>
    <t>Prior</t>
  </si>
  <si>
    <t>Change</t>
  </si>
  <si>
    <t>Your Target</t>
  </si>
  <si>
    <t>How this is read</t>
  </si>
  <si>
    <t>Compared with the monthly revenue target you entered. Revenue is not cash.</t>
  </si>
  <si>
    <t>Revenue Growth %</t>
  </si>
  <si>
    <t>Growth against the prior month. Contract work is lumpy — a fall is not automatically bad.</t>
  </si>
  <si>
    <t>Revenue less the direct job costs entered. Not net income.</t>
  </si>
  <si>
    <t>Compared with your own gross margin target, not an industry figure.</t>
  </si>
  <si>
    <t>Gross profit less overhead entered. Owner draws are not deducted.</t>
  </si>
  <si>
    <t>Compared with your own operating margin target.</t>
  </si>
  <si>
    <t>COST STRUCTURE  (SHARE OF REVENUE)</t>
  </si>
  <si>
    <t>Direct Labour % of Revenue</t>
  </si>
  <si>
    <t>Self-performed work raises this and lowers the subcontractor share.</t>
  </si>
  <si>
    <t>Subcontractor % of Revenue</t>
  </si>
  <si>
    <t>Subcontracted work raises this and lowers the direct labour share.</t>
  </si>
  <si>
    <t>Materials % of Revenue</t>
  </si>
  <si>
    <t>Moves with job mix as well as with material prices.</t>
  </si>
  <si>
    <t>Total Direct Job Cost % of Revenue</t>
  </si>
  <si>
    <t>The complement of gross margin: this share plus gross margin equals 100%.</t>
  </si>
  <si>
    <t>Overhead % of Revenue</t>
  </si>
  <si>
    <t>Mostly fixed cost over a variable revenue base, so it rises in quieter months.</t>
  </si>
  <si>
    <t>Cost shares are reported against your own targets. There is no universally correct split between self-performed labour, subcontractors and materials — it depends on how you choose to deliver work. A share above your target is a question to investigate, not a fault.</t>
  </si>
  <si>
    <t>Cash Balance</t>
  </si>
  <si>
    <t>Compared with the minimum cash level you entered — your figure, not a recommended one.</t>
  </si>
  <si>
    <t>The balance owed to you at month end, as entered.</t>
  </si>
  <si>
    <t>The balance you owe at month end, as entered.</t>
  </si>
  <si>
    <t>Current assets divided by current liabilities. N/M where current liabilities are zero.</t>
  </si>
  <si>
    <t>Receivables divided by the month's revenue, times 30.4 days. A single-month approximation.</t>
  </si>
  <si>
    <t>Cash Coverage  (months)</t>
  </si>
  <si>
    <t>Cash divided by the month's direct job costs plus overhead. No level is universally right.</t>
  </si>
  <si>
    <t>JOB AND OPERATING ACTIVITY</t>
  </si>
  <si>
    <t>Count entered for the reporting month.</t>
  </si>
  <si>
    <t>Jobs in Progress</t>
  </si>
  <si>
    <t>More jobs open is neither good nor bad on its own — it depends on capacity.</t>
  </si>
  <si>
    <t>Contracted work not yet revenue. It is not cash and not guaranteed profit.</t>
  </si>
  <si>
    <t>Approved scope added in the month. A large figure is worth understanding, not judging.</t>
  </si>
  <si>
    <t>Quote Conversion %</t>
  </si>
  <si>
    <t>Optional. A lower conversion rate can reflect deliberate selectivity on which work to bid.</t>
  </si>
  <si>
    <t>JOB PERFORMANCE      FROM THE JOB PERFORMANCE TAB</t>
  </si>
  <si>
    <t>Weighted Estimated Job Margin</t>
  </si>
  <si>
    <t>Completed jobs entered: total estimated gross profit over total contract value.</t>
  </si>
  <si>
    <t>Weighted Actual Job Margin</t>
  </si>
  <si>
    <t>Completed jobs entered: total actual gross profit over total contract value.</t>
  </si>
  <si>
    <t>Job Margin Variance  (pp)</t>
  </si>
  <si>
    <t>Actual weighted margin less estimated weighted margin. Positive is above estimate.</t>
  </si>
  <si>
    <t>Actual cost less estimated cost on completed jobs. Positive means costs above estimate.</t>
  </si>
  <si>
    <t>Statuses compare your result with the target you entered, or report the measure where no single direction is correct. Above Target and Below Target are factual statements about your own target — they are not judgements about your business, and this workbook never states that a level is healthy.</t>
  </si>
  <si>
    <t>TWELVE-MONTH TREND</t>
  </si>
  <si>
    <t>Vertex Strategic Finance  |  FICTIONAL EXAMPLE DATA — FOR DEMONSTRATION ONLY.  Targets are user-defined planning goals, not industry benchmarks or recommendations.</t>
  </si>
  <si>
    <t>KPI Targets</t>
  </si>
  <si>
    <t>Your own planning goals. This workbook publishes no contractor benchmarks.</t>
  </si>
  <si>
    <t>Every target below is yours to set. Enter the level you are planning to, not a level anyone told you is normal. Leave a target blank and the matching KPI simply reads Set Target — nothing else is affected. Zero targets are valid, and negative targets are accepted where they make mathematical sense.</t>
  </si>
  <si>
    <t>FICTIONAL EXAMPLE TARGET — NOT AN INDUSTRY BENCHMARK OR RECOMMENDATION.  Every figure in the shaded column is example data for a fictional contractor. Replace each one with your own target.</t>
  </si>
  <si>
    <t>YOUR TARGETS</t>
  </si>
  <si>
    <t>Target</t>
  </si>
  <si>
    <t>Your Figure</t>
  </si>
  <si>
    <t>Notes</t>
  </si>
  <si>
    <t>Monthly Revenue Target</t>
  </si>
  <si>
    <t>The monthly revenue level you are planning to.</t>
  </si>
  <si>
    <t>Gross Margin % Target</t>
  </si>
  <si>
    <t>Your own gross margin goal, after direct job costs.</t>
  </si>
  <si>
    <t>Operating Margin % Target</t>
  </si>
  <si>
    <t>Your own operating margin goal, after overhead.</t>
  </si>
  <si>
    <t>Direct Labour % of Revenue Target</t>
  </si>
  <si>
    <t>Depends on how much work you self-perform. There is no correct level.</t>
  </si>
  <si>
    <t>Subcontractor % of Revenue Target</t>
  </si>
  <si>
    <t>Moves in the opposite direction to the direct labour share.</t>
  </si>
  <si>
    <t>Materials % of Revenue Target</t>
  </si>
  <si>
    <t>Depends on trade, job mix and how materials are procured.</t>
  </si>
  <si>
    <t>Total Direct Job Cost % of Revenue Target</t>
  </si>
  <si>
    <t>The complement of your gross margin target.</t>
  </si>
  <si>
    <t>Overhead % of Revenue Target</t>
  </si>
  <si>
    <t>Overhead is largely fixed, so this share moves with revenue.</t>
  </si>
  <si>
    <t>A/R Days Target</t>
  </si>
  <si>
    <t>The average collection period you are working towards.</t>
  </si>
  <si>
    <t>Minimum Desired Cash</t>
  </si>
  <si>
    <t>The cash floor you want to hold. Your figure, not a recommended reserve.</t>
  </si>
  <si>
    <t>Cash Coverage Target  (months)</t>
  </si>
  <si>
    <t>Months of direct job cost plus overhead you want cash to cover.</t>
  </si>
  <si>
    <t>Backlog Target  (optional)</t>
  </si>
  <si>
    <t>Optional. Only useful alongside your own view of capacity.</t>
  </si>
  <si>
    <t>Job Margin Variance Target  (pp)</t>
  </si>
  <si>
    <t>Percentage points of actual margin against estimate. Enter 1.5 for 1.5 pp.</t>
  </si>
  <si>
    <t>Targets in this workbook are user-defined planning goals, not industry benchmarks or recommendations. Vertex Strategic Finance publishes no target margin, cost share, collection period, cash level or backlog level for any trade, and this workbook does not invent one. A result above or below a target is a statement about your own figure and nothing more.</t>
  </si>
  <si>
    <t>Vertex Strategic Finance  |  FICTIONAL EXAMPLE DATA — FOR DEMONSTRATION ONLY.  Replace every target with your own.</t>
  </si>
  <si>
    <t>Working Capital</t>
  </si>
  <si>
    <t>Cash, receivables, payables and the timing behind them.</t>
  </si>
  <si>
    <t>These figures come from the cash and working capital lines on the MONTHLY INPUTS tab and use the same statuses as the KPI ANALYSIS tab, so the two always agree.</t>
  </si>
  <si>
    <t>POSITION</t>
  </si>
  <si>
    <t>Cash</t>
  </si>
  <si>
    <t>Compared with the minimum cash you entered on the KPI TARGETS tab.</t>
  </si>
  <si>
    <t>Owed to you at month end, as entered.</t>
  </si>
  <si>
    <t>Owed by you at month end, as entered.</t>
  </si>
  <si>
    <t>Net Working Capital</t>
  </si>
  <si>
    <t>Current assets less current liabilities, as entered.</t>
  </si>
  <si>
    <t>Receivables divided by the month's revenue, times 30.4 days.</t>
  </si>
  <si>
    <t>Cash divided by the month's direct job costs plus overhead.</t>
  </si>
  <si>
    <t>No level of cash, coverage or current ratio is universally healthy. Each is compared only with the figure you entered on the KPI TARGETS tab, and where you have entered none the status reads Set Target.</t>
  </si>
  <si>
    <t>TWELVE-MONTH MOVEMENT</t>
  </si>
  <si>
    <t>WHY A PROFITABLE MONTH MAY NOT FEEL LIKE ONE</t>
  </si>
  <si>
    <t>A profitable job or a profitable month does not necessarily produce immediate cash. The timing of customer collections, supplier payments, payroll, materials, deposits, retainage or holdbacks where they apply, equipment purchases and debt payments can all affect cash independently of profit. This workbook reports the balances you enter; it does not model statutory holdback or retainage requirements, which vary by jurisdiction and by contract, and it offers no construction-law or legal advice.</t>
  </si>
  <si>
    <t>Vertex Strategic Finance  |  FICTIONAL EXAMPLE DATA — FOR DEMONSTRATION ONLY.  Revenue is not cash, and profit is not cash.</t>
  </si>
  <si>
    <t>Action Plan</t>
  </si>
  <si>
    <t>Questions worth investigating, drawn from your own figures.</t>
  </si>
  <si>
    <t>These are questions, not instructions. Each one is raised by the statuses on the KPI ANALYSIS tab, so what appears here always matches what that tab reports. Where information is missing, the question asks you to complete the inputs rather than drawing a conclusion from a gap.</t>
  </si>
  <si>
    <t>QUESTIONS FOR THIS REPORTING PERIOD</t>
  </si>
  <si>
    <t>Area</t>
  </si>
  <si>
    <t>Question worth investigating</t>
  </si>
  <si>
    <t>Gross Margin</t>
  </si>
  <si>
    <t>Job Margin vs Estimate</t>
  </si>
  <si>
    <t>Collections</t>
  </si>
  <si>
    <t>Backlog and Capacity</t>
  </si>
  <si>
    <t>Materials and Change Orders</t>
  </si>
  <si>
    <t>These questions are prompts for your own review. They are not advice, and they do not say that anything is wrong. A variance is a question to investigate, and the answer often lies in job mix, timing or a deliberate decision you already made.</t>
  </si>
  <si>
    <t>WHAT THIS SECTION DOES NOT DO</t>
  </si>
  <si>
    <t>This section does not tell you what to charge, who to hire, how much cash to hold or what margin to target. It has no view on what is normal for your trade, your region or your size of business. Where an input is missing it asks you to complete it rather than inferring a problem, because a blank cell is missing information and not a zero.</t>
  </si>
  <si>
    <t>Vertex Strategic Finance  |  FICTIONAL EXAMPLE DATA — FOR DEMONSTRATION ONLY.  Questions only — not accounting, tax, legal or financial advice.</t>
  </si>
  <si>
    <t>Contractor KPI Dashboard</t>
  </si>
  <si>
    <t>Chart 3 feed — direct cost composition, reporting month</t>
  </si>
  <si>
    <t>REVENUE</t>
  </si>
  <si>
    <t>GROSS MARGIN</t>
  </si>
  <si>
    <t>OPERATING PROFIT</t>
  </si>
  <si>
    <t>OPERATING MARGIN</t>
  </si>
  <si>
    <t>Other Direct</t>
  </si>
  <si>
    <t>CASH</t>
  </si>
  <si>
    <t>APPROXIMATE A/R DAYS</t>
  </si>
  <si>
    <t>BACKLOG</t>
  </si>
  <si>
    <t>JOB MARGIN VARIANCE</t>
  </si>
  <si>
    <t>3.   Direct Cost Composition — Reporting Month</t>
  </si>
  <si>
    <t>CONTRACTOR FINANCIAL PULSE</t>
  </si>
  <si>
    <t>▪</t>
  </si>
  <si>
    <t>Every figure on this dashboard is calculated from the information you entered. Targets are your own planning goals: this workbook applies no contractor benchmark and makes no recommendation about margin, cost share, collection period, cash level or backlog. Gross profit is not net income, backlog is not cash or guaranteed profit, and revenue is not cash. Results for jobs in progress are based only on the costs entered so far and may change. Nothing here constitutes accounting, tax, legal, construction-law, investment or financial advice, nor assurance or a professional opinion on any business. All figures shown are FICTIONAL EXAMPLE DATA.</t>
  </si>
  <si>
    <t>Vertex Strategic Finance   |   CPA-Led Accounting &amp; Advisory for Owner-Led Businesses   |   www.vertexstrategicfinance.ca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</si>
</sst>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quot;-&quot;"/>
    <numFmt numFmtId="166" formatCode="0.0%"/>
    <numFmt numFmtId="167" formatCode="0.000000"/>
    <numFmt numFmtId="168" formatCode="0.00000000"/>
    <numFmt numFmtId="169" formatCode="&quot;+$&quot;#,##0;&quot;-$&quot;#,##0;\$0"/>
    <numFmt numFmtId="170" formatCode="\+0.0%;\-0.0%;0.0%"/>
    <numFmt numFmtId="171" formatCode="\+0.0&quot; pp&quot;;\-0.0&quot; pp&quot;;0.0&quot; pp&quot;"/>
    <numFmt numFmtId="172" formatCode="#,##0.0;\(#,##0.0\);\-"/>
    <numFmt numFmtId="173" formatCode="\+#,##0.0;\-#,##0.0;0.0"/>
  </numFmts>
  <fonts count="34" x14ac:knownFonts="1">
    <font>
      <sz val="11"/>
      <color theme="1"/>
      <name val="Calibri"/>
      <family val="2"/>
      <charset val="1"/>
    </font>
    <font>
      <b/>
      <sz val="8.5"/>
      <color rgb="FF8FB8C9"/>
      <name val="Arial"/>
      <charset val="1"/>
    </font>
    <font>
      <b/>
      <sz val="18"/>
      <color rgb="FFFFFFFF"/>
      <name val="Arial"/>
      <charset val="1"/>
    </font>
    <font>
      <sz val="9"/>
      <color rgb="FFC7D9E2"/>
      <name val="Arial"/>
      <charset val="1"/>
    </font>
    <font>
      <b/>
      <sz val="11"/>
      <color rgb="FF083152"/>
      <name val="Arial"/>
      <charset val="1"/>
    </font>
    <font>
      <sz val="10"/>
      <color rgb="FF1A1A1A"/>
      <name val="Arial"/>
      <charset val="1"/>
    </font>
    <font>
      <b/>
      <sz val="9"/>
      <color rgb="FF083152"/>
      <name val="Arial"/>
      <charset val="1"/>
    </font>
    <font>
      <b/>
      <sz val="9"/>
      <color rgb="FF23727C"/>
      <name val="Arial"/>
      <charset val="1"/>
    </font>
    <font>
      <sz val="9"/>
      <color rgb="FF1A1A1A"/>
      <name val="Arial"/>
      <charset val="1"/>
    </font>
    <font>
      <b/>
      <sz val="8.5"/>
      <color rgb="FF083152"/>
      <name val="Arial"/>
      <charset val="1"/>
    </font>
    <font>
      <sz val="9"/>
      <color rgb="FF3A4A55"/>
      <name val="Arial"/>
      <charset val="1"/>
    </font>
    <font>
      <i/>
      <sz val="8"/>
      <color rgb="FF6B7A85"/>
      <name val="Arial"/>
      <charset val="1"/>
    </font>
    <font>
      <b/>
      <sz val="11"/>
      <color rgb="FFFFFFFF"/>
      <name val="Arial"/>
      <charset val="1"/>
    </font>
    <font>
      <sz val="9"/>
      <color rgb="FF9FBECF"/>
      <name val="Arial"/>
      <charset val="1"/>
    </font>
    <font>
      <i/>
      <sz val="9"/>
      <color rgb="FF9FBECF"/>
      <name val="Arial"/>
      <charset val="1"/>
    </font>
    <font>
      <b/>
      <sz val="10"/>
      <color rgb="FFFFFFFF"/>
      <name val="Arial"/>
      <charset val="1"/>
    </font>
    <font>
      <sz val="10"/>
      <color rgb="FF0B4A63"/>
      <name val="Arial"/>
      <charset val="1"/>
    </font>
    <font>
      <b/>
      <sz val="10"/>
      <color rgb="FF083152"/>
      <name val="Arial"/>
      <charset val="1"/>
    </font>
    <font>
      <sz val="9"/>
      <color rgb="FF0B4A63"/>
      <name val="Arial"/>
      <charset val="1"/>
    </font>
    <font>
      <i/>
      <sz val="8.5"/>
      <color rgb="FF6B7A85"/>
      <name val="Arial"/>
      <charset val="1"/>
    </font>
    <font>
      <sz val="9"/>
      <color rgb="FF083152"/>
      <name val="Arial"/>
      <charset val="1"/>
    </font>
    <font>
      <sz val="8"/>
      <color rgb="FFFFFFFF"/>
      <name val="Arial"/>
      <charset val="1"/>
    </font>
    <font>
      <b/>
      <sz val="8"/>
      <color rgb="FF23727C"/>
      <name val="Arial"/>
      <charset val="1"/>
    </font>
    <font>
      <b/>
      <sz val="8"/>
      <color rgb="FF083152"/>
      <name val="Arial"/>
      <charset val="1"/>
    </font>
    <font>
      <sz val="9.5"/>
      <color rgb="FF1A1A1A"/>
      <name val="Arial"/>
      <charset val="1"/>
    </font>
    <font>
      <sz val="9.5"/>
      <color rgb="FF083152"/>
      <name val="Arial"/>
      <charset val="1"/>
    </font>
    <font>
      <sz val="8.5"/>
      <color rgb="FF6B7A85"/>
      <name val="Arial"/>
      <charset val="1"/>
    </font>
    <font>
      <b/>
      <sz val="9.5"/>
      <color rgb="FF083152"/>
      <name val="Arial"/>
      <charset val="1"/>
    </font>
    <font>
      <b/>
      <sz val="9.5"/>
      <color rgb="FF23727C"/>
      <name val="Arial"/>
      <charset val="1"/>
    </font>
    <font>
      <b/>
      <sz val="7.5"/>
      <color rgb="FF23727C"/>
      <name val="Arial"/>
      <charset val="1"/>
    </font>
    <font>
      <b/>
      <sz val="15"/>
      <color rgb="FF083152"/>
      <name val="Arial"/>
      <charset val="1"/>
    </font>
    <font>
      <sz val="7.5"/>
      <color rgb="FF6B7A85"/>
      <name val="Arial"/>
      <charset val="1"/>
    </font>
    <font>
      <sz val="8"/>
      <color rgb="FF23727C"/>
      <name val="Arial"/>
      <charset val="1"/>
    </font>
    <font>
      <b/>
      <sz val="9"/>
      <color rgb="FFFFFFFF"/>
      <name val="Arial"/>
      <charset val="1"/>
    </font>
  </fonts>
  <fills count="6">
    <fill>
      <patternFill patternType="none"/>
    </fill>
    <fill>
      <patternFill patternType="gray125"/>
    </fill>
    <fill>
      <patternFill patternType="solid">
        <fgColor rgb="FF083152"/>
        <bgColor rgb="FF0B4A63"/>
      </patternFill>
    </fill>
    <fill>
      <patternFill patternType="solid">
        <fgColor rgb="FFF4F6F8"/>
        <bgColor rgb="FFEDF4F5"/>
      </patternFill>
    </fill>
    <fill>
      <patternFill patternType="solid">
        <fgColor rgb="FF23727C"/>
        <bgColor rgb="FF008080"/>
      </patternFill>
    </fill>
    <fill>
      <patternFill patternType="solid">
        <fgColor rgb="FFEDF4F5"/>
        <bgColor rgb="FFF4F6F8"/>
      </patternFill>
    </fill>
  </fills>
  <borders count="12">
    <border>
      <left/>
      <right/>
      <top/>
      <bottom/>
      <diagonal/>
    </border>
    <border>
      <left/>
      <right/>
      <top/>
      <bottom style="medium">
        <color rgb="FF23727C"/>
      </bottom>
      <diagonal/>
    </border>
    <border>
      <left style="thin">
        <color rgb="FF23727C"/>
      </left>
      <right style="thin">
        <color rgb="FF23727C"/>
      </right>
      <top style="thin">
        <color rgb="FF23727C"/>
      </top>
      <bottom style="thin">
        <color rgb="FF23727C"/>
      </bottom>
      <diagonal/>
    </border>
    <border>
      <left/>
      <right/>
      <top/>
      <bottom style="thin">
        <color rgb="FF083152"/>
      </bottom>
      <diagonal/>
    </border>
    <border>
      <left style="thin">
        <color rgb="FFD6DDE2"/>
      </left>
      <right style="thin">
        <color rgb="FFD6DDE2"/>
      </right>
      <top style="thin">
        <color rgb="FFD6DDE2"/>
      </top>
      <bottom style="thin">
        <color rgb="FFD6DDE2"/>
      </bottom>
      <diagonal/>
    </border>
    <border>
      <left style="thin">
        <color rgb="FFD6DDE2"/>
      </left>
      <right/>
      <top style="thin">
        <color rgb="FFD6DDE2"/>
      </top>
      <bottom style="thin">
        <color rgb="FFD6DDE2"/>
      </bottom>
      <diagonal/>
    </border>
    <border>
      <left/>
      <right/>
      <top style="thin">
        <color rgb="FFD6DDE2"/>
      </top>
      <bottom style="thin">
        <color rgb="FFD6DDE2"/>
      </bottom>
      <diagonal/>
    </border>
    <border>
      <left/>
      <right style="thin">
        <color rgb="FFD6DDE2"/>
      </right>
      <top style="thin">
        <color rgb="FFD6DDE2"/>
      </top>
      <bottom style="thin">
        <color rgb="FFD6DDE2"/>
      </bottom>
      <diagonal/>
    </border>
    <border>
      <left style="thin">
        <color rgb="FFD6DDE2"/>
      </left>
      <right style="thin">
        <color rgb="FFD6DDE2"/>
      </right>
      <top style="thin">
        <color rgb="FFD6DDE2"/>
      </top>
      <bottom/>
      <diagonal/>
    </border>
    <border>
      <left style="thin">
        <color rgb="FFD6DDE2"/>
      </left>
      <right style="thin">
        <color rgb="FFD6DDE2"/>
      </right>
      <top/>
      <bottom/>
      <diagonal/>
    </border>
    <border>
      <left style="thin">
        <color rgb="FFD6DDE2"/>
      </left>
      <right style="thin">
        <color rgb="FFD6DDE2"/>
      </right>
      <top/>
      <bottom style="thin">
        <color rgb="FFD6DDE2"/>
      </bottom>
      <diagonal/>
    </border>
    <border>
      <left/>
      <right/>
      <top/>
      <bottom style="thin">
        <color rgb="FF23727C"/>
      </bottom>
      <diagonal/>
    </border>
  </borders>
  <cellStyleXfs count="1">
    <xf numFmtId="0" fontId="0" fillId="0" borderId="0"/>
  </cellStyleXfs>
  <cellXfs count="140">
    <xf numFmtId="0" fontId="0" fillId="0" borderId="0" xfId="0"/>
    <xf numFmtId="0" fontId="15" fillId="4" borderId="0" xfId="0" applyFont="1" applyFill="1" applyAlignment="1">
      <alignment horizontal="left" vertical="center" indent="1"/>
    </xf>
    <xf numFmtId="0" fontId="8" fillId="0" borderId="0" xfId="0" applyFont="1" applyAlignment="1">
      <alignment horizontal="left" vertical="top" wrapText="1" indent="1"/>
    </xf>
    <xf numFmtId="0" fontId="14" fillId="2" borderId="0" xfId="0" applyFont="1" applyFill="1" applyAlignment="1">
      <alignment horizontal="right" vertical="center" indent="1"/>
    </xf>
    <xf numFmtId="0" fontId="13" fillId="2" borderId="0" xfId="0" applyFont="1" applyFill="1" applyAlignment="1">
      <alignment horizontal="center" vertical="center"/>
    </xf>
    <xf numFmtId="0" fontId="3" fillId="2" borderId="0" xfId="0" applyFont="1" applyFill="1" applyAlignment="1">
      <alignment horizontal="center" vertical="center"/>
    </xf>
    <xf numFmtId="0" fontId="12" fillId="2" borderId="0" xfId="0" applyFont="1" applyFill="1" applyAlignment="1">
      <alignment horizontal="center" vertical="center"/>
    </xf>
    <xf numFmtId="0" fontId="11" fillId="0" borderId="4" xfId="0" applyFont="1" applyBorder="1" applyAlignment="1">
      <alignment horizontal="left" vertical="top" wrapText="1" indent="1"/>
    </xf>
    <xf numFmtId="0" fontId="6" fillId="3" borderId="2" xfId="0" applyFont="1" applyFill="1" applyBorder="1" applyAlignment="1">
      <alignment horizontal="left" vertical="center" wrapText="1" indent="1"/>
    </xf>
    <xf numFmtId="0" fontId="5" fillId="0" borderId="0" xfId="0" applyFont="1" applyAlignment="1">
      <alignment horizontal="left" vertical="center" indent="2"/>
    </xf>
    <xf numFmtId="0" fontId="5" fillId="0" borderId="0" xfId="0" applyFont="1" applyAlignment="1">
      <alignment horizontal="left" vertical="top" wrapText="1" indent="1"/>
    </xf>
    <xf numFmtId="0" fontId="4" fillId="0" borderId="1" xfId="0" applyFont="1" applyBorder="1" applyAlignment="1">
      <alignment horizontal="left"/>
    </xf>
    <xf numFmtId="0" fontId="3" fillId="2" borderId="0" xfId="0" applyFont="1" applyFill="1" applyAlignment="1">
      <alignment horizontal="left" vertical="center" indent="1"/>
    </xf>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7" fillId="0" borderId="0" xfId="0" applyFont="1" applyAlignment="1">
      <alignment horizontal="left" vertical="center" indent="1"/>
    </xf>
    <xf numFmtId="0" fontId="8" fillId="0" borderId="0" xfId="0" applyFont="1" applyAlignment="1">
      <alignment horizontal="left" vertical="center" wrapText="1"/>
    </xf>
    <xf numFmtId="0" fontId="9" fillId="0" borderId="3" xfId="0" applyFont="1" applyBorder="1" applyAlignment="1">
      <alignment horizontal="left" vertical="center" wrapText="1" indent="1"/>
    </xf>
    <xf numFmtId="0" fontId="6" fillId="3" borderId="0" xfId="0" applyFont="1" applyFill="1" applyAlignment="1">
      <alignment horizontal="left" vertical="top" wrapText="1" indent="1"/>
    </xf>
    <xf numFmtId="0" fontId="10" fillId="3" borderId="0" xfId="0" applyFont="1" applyFill="1" applyAlignment="1">
      <alignment horizontal="left" vertical="top" wrapText="1"/>
    </xf>
    <xf numFmtId="0" fontId="6" fillId="0" borderId="0" xfId="0" applyFont="1" applyAlignment="1">
      <alignment horizontal="left" vertical="top" wrapText="1" indent="1"/>
    </xf>
    <xf numFmtId="0" fontId="10" fillId="0" borderId="0" xfId="0" applyFont="1" applyAlignment="1">
      <alignment horizontal="left" vertical="top" wrapText="1"/>
    </xf>
    <xf numFmtId="0" fontId="5" fillId="0" borderId="0" xfId="0" applyFont="1" applyAlignment="1">
      <alignment horizontal="left" vertical="center" indent="1"/>
    </xf>
    <xf numFmtId="0" fontId="17" fillId="0" borderId="0" xfId="0" applyFont="1" applyAlignment="1">
      <alignment horizontal="left" vertical="center" indent="1"/>
    </xf>
    <xf numFmtId="164" fontId="16" fillId="5" borderId="2" xfId="0" applyNumberFormat="1" applyFont="1" applyFill="1" applyBorder="1" applyAlignment="1" applyProtection="1">
      <alignment horizontal="right" vertical="center" indent="1"/>
      <protection locked="0"/>
    </xf>
    <xf numFmtId="49" fontId="18" fillId="5" borderId="2" xfId="0" applyNumberFormat="1" applyFont="1" applyFill="1" applyBorder="1" applyAlignment="1" applyProtection="1">
      <alignment horizontal="right" vertical="center" indent="1"/>
      <protection locked="0"/>
    </xf>
    <xf numFmtId="0" fontId="9" fillId="0" borderId="3" xfId="0" applyFont="1" applyBorder="1" applyAlignment="1">
      <alignment horizontal="left" vertical="center" indent="1"/>
    </xf>
    <xf numFmtId="49" fontId="9" fillId="0" borderId="3" xfId="0" applyNumberFormat="1" applyFont="1" applyBorder="1" applyAlignment="1">
      <alignment horizontal="right" vertical="center" indent="1"/>
    </xf>
    <xf numFmtId="165" fontId="18" fillId="5" borderId="2" xfId="0" applyNumberFormat="1" applyFont="1" applyFill="1" applyBorder="1" applyAlignment="1" applyProtection="1">
      <alignment horizontal="right" vertical="center" indent="1"/>
      <protection locked="0"/>
    </xf>
    <xf numFmtId="0" fontId="17" fillId="3" borderId="5" xfId="0" applyFont="1" applyFill="1" applyBorder="1" applyAlignment="1">
      <alignment horizontal="left" vertical="center" indent="1"/>
    </xf>
    <xf numFmtId="165" fontId="6" fillId="3" borderId="6" xfId="0" applyNumberFormat="1" applyFont="1" applyFill="1" applyBorder="1" applyAlignment="1">
      <alignment horizontal="right" vertical="center" indent="1"/>
    </xf>
    <xf numFmtId="165" fontId="6" fillId="3" borderId="7" xfId="0" applyNumberFormat="1" applyFont="1" applyFill="1" applyBorder="1" applyAlignment="1">
      <alignment horizontal="right" vertical="center" indent="1"/>
    </xf>
    <xf numFmtId="166" fontId="6" fillId="3" borderId="6" xfId="0" applyNumberFormat="1" applyFont="1" applyFill="1" applyBorder="1" applyAlignment="1">
      <alignment horizontal="right" vertical="center" indent="1"/>
    </xf>
    <xf numFmtId="166" fontId="6" fillId="3" borderId="7" xfId="0" applyNumberFormat="1" applyFont="1" applyFill="1" applyBorder="1" applyAlignment="1">
      <alignment horizontal="right" vertical="center" indent="1"/>
    </xf>
    <xf numFmtId="164" fontId="18" fillId="5" borderId="2" xfId="0" applyNumberFormat="1" applyFont="1" applyFill="1" applyBorder="1" applyAlignment="1" applyProtection="1">
      <alignment horizontal="right" vertical="center" indent="1"/>
      <protection locked="0"/>
    </xf>
    <xf numFmtId="49" fontId="20" fillId="0" borderId="0" xfId="0" applyNumberFormat="1" applyFont="1" applyAlignment="1">
      <alignment horizontal="center" vertical="center"/>
    </xf>
    <xf numFmtId="49" fontId="6" fillId="3" borderId="6"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0" fontId="21" fillId="0" borderId="0" xfId="0" applyFont="1"/>
    <xf numFmtId="1" fontId="21" fillId="0" borderId="0" xfId="0" applyNumberFormat="1" applyFont="1"/>
    <xf numFmtId="0" fontId="23" fillId="0" borderId="3" xfId="0" applyFont="1" applyBorder="1" applyAlignment="1">
      <alignment horizontal="left" wrapText="1" indent="1"/>
    </xf>
    <xf numFmtId="0" fontId="23" fillId="0" borderId="3" xfId="0" applyFont="1" applyBorder="1" applyAlignment="1">
      <alignment horizontal="right" wrapText="1" indent="1"/>
    </xf>
    <xf numFmtId="49" fontId="18" fillId="5" borderId="2" xfId="0" applyNumberFormat="1" applyFont="1" applyFill="1" applyBorder="1" applyAlignment="1" applyProtection="1">
      <alignment horizontal="left" vertical="center" indent="1"/>
      <protection locked="0"/>
    </xf>
    <xf numFmtId="165" fontId="20" fillId="3" borderId="0" xfId="0" applyNumberFormat="1" applyFont="1" applyFill="1" applyAlignment="1">
      <alignment horizontal="right" vertical="center" indent="1"/>
    </xf>
    <xf numFmtId="167" fontId="21" fillId="0" borderId="0" xfId="0" applyNumberFormat="1" applyFont="1"/>
    <xf numFmtId="168" fontId="21" fillId="0" borderId="0" xfId="0" applyNumberFormat="1" applyFont="1"/>
    <xf numFmtId="49" fontId="21" fillId="0" borderId="0" xfId="0" applyNumberFormat="1" applyFont="1"/>
    <xf numFmtId="166" fontId="21" fillId="0" borderId="0" xfId="0" applyNumberFormat="1" applyFont="1"/>
    <xf numFmtId="0" fontId="0" fillId="0" borderId="3" xfId="0" applyBorder="1"/>
    <xf numFmtId="49" fontId="20" fillId="3" borderId="0" xfId="0" applyNumberFormat="1" applyFont="1" applyFill="1" applyAlignment="1">
      <alignment horizontal="left" vertical="center" indent="1"/>
    </xf>
    <xf numFmtId="166" fontId="20" fillId="3" borderId="0" xfId="0" applyNumberFormat="1" applyFont="1" applyFill="1" applyAlignment="1">
      <alignment horizontal="right" vertical="center" indent="1"/>
    </xf>
    <xf numFmtId="169" fontId="20" fillId="3" borderId="0" xfId="0" applyNumberFormat="1" applyFont="1" applyFill="1" applyAlignment="1">
      <alignment horizontal="right" vertical="center" indent="1"/>
    </xf>
    <xf numFmtId="170" fontId="20" fillId="3" borderId="0" xfId="0" applyNumberFormat="1" applyFont="1" applyFill="1" applyAlignment="1">
      <alignment horizontal="right" vertical="center" indent="1"/>
    </xf>
    <xf numFmtId="171" fontId="20" fillId="3" borderId="0" xfId="0" applyNumberFormat="1" applyFont="1" applyFill="1" applyAlignment="1">
      <alignment horizontal="right" vertical="center" indent="1"/>
    </xf>
    <xf numFmtId="49" fontId="20" fillId="0" borderId="0" xfId="0" applyNumberFormat="1" applyFont="1" applyAlignment="1">
      <alignment horizontal="left" vertical="center" indent="1"/>
    </xf>
    <xf numFmtId="165" fontId="20" fillId="0" borderId="0" xfId="0" applyNumberFormat="1" applyFont="1" applyAlignment="1">
      <alignment horizontal="right" vertical="center" indent="1"/>
    </xf>
    <xf numFmtId="166" fontId="20" fillId="0" borderId="0" xfId="0" applyNumberFormat="1" applyFont="1" applyAlignment="1">
      <alignment horizontal="right" vertical="center" indent="1"/>
    </xf>
    <xf numFmtId="169" fontId="20" fillId="0" borderId="0" xfId="0" applyNumberFormat="1" applyFont="1" applyAlignment="1">
      <alignment horizontal="right" vertical="center" indent="1"/>
    </xf>
    <xf numFmtId="170" fontId="20" fillId="0" borderId="0" xfId="0" applyNumberFormat="1" applyFont="1" applyAlignment="1">
      <alignment horizontal="right" vertical="center" indent="1"/>
    </xf>
    <xf numFmtId="171" fontId="20" fillId="0" borderId="0" xfId="0" applyNumberFormat="1" applyFont="1" applyAlignment="1">
      <alignment horizontal="right" vertical="center" indent="1"/>
    </xf>
    <xf numFmtId="0" fontId="9" fillId="0" borderId="3" xfId="0" applyFont="1" applyBorder="1" applyAlignment="1">
      <alignment horizontal="right" vertical="center" indent="1"/>
    </xf>
    <xf numFmtId="0" fontId="24" fillId="0" borderId="0" xfId="0" applyFont="1" applyAlignment="1">
      <alignment horizontal="left" vertical="center" indent="1"/>
    </xf>
    <xf numFmtId="164" fontId="25" fillId="0" borderId="0" xfId="0" applyNumberFormat="1" applyFont="1" applyAlignment="1">
      <alignment horizontal="right" vertical="center" indent="1"/>
    </xf>
    <xf numFmtId="165" fontId="25" fillId="0" borderId="0" xfId="0" applyNumberFormat="1" applyFont="1" applyAlignment="1">
      <alignment horizontal="right" vertical="center" indent="1"/>
    </xf>
    <xf numFmtId="0" fontId="27" fillId="3" borderId="5" xfId="0" applyFont="1" applyFill="1" applyBorder="1" applyAlignment="1">
      <alignment horizontal="left" vertical="center" indent="1"/>
    </xf>
    <xf numFmtId="165" fontId="27" fillId="3" borderId="7" xfId="0" applyNumberFormat="1" applyFont="1" applyFill="1" applyBorder="1" applyAlignment="1">
      <alignment horizontal="right" vertical="center" indent="1"/>
    </xf>
    <xf numFmtId="166" fontId="27" fillId="3" borderId="7" xfId="0" applyNumberFormat="1" applyFont="1" applyFill="1" applyBorder="1" applyAlignment="1">
      <alignment horizontal="right" vertical="center" indent="1"/>
    </xf>
    <xf numFmtId="166" fontId="25" fillId="0" borderId="0" xfId="0" applyNumberFormat="1" applyFont="1" applyAlignment="1">
      <alignment horizontal="right" vertical="center" indent="1"/>
    </xf>
    <xf numFmtId="169" fontId="25" fillId="0" borderId="0" xfId="0" applyNumberFormat="1" applyFont="1" applyAlignment="1">
      <alignment horizontal="right" vertical="center" indent="1"/>
    </xf>
    <xf numFmtId="171" fontId="27" fillId="3" borderId="7" xfId="0" applyNumberFormat="1" applyFont="1" applyFill="1" applyBorder="1" applyAlignment="1">
      <alignment horizontal="right" vertical="center" indent="1"/>
    </xf>
    <xf numFmtId="171" fontId="25" fillId="0" borderId="0" xfId="0" applyNumberFormat="1" applyFont="1" applyAlignment="1">
      <alignment horizontal="right" vertical="center" indent="1"/>
    </xf>
    <xf numFmtId="170" fontId="25" fillId="0" borderId="0" xfId="0" applyNumberFormat="1" applyFont="1" applyAlignment="1">
      <alignment horizontal="right" vertical="center" indent="1"/>
    </xf>
    <xf numFmtId="166" fontId="27" fillId="3" borderId="6" xfId="0" applyNumberFormat="1" applyFont="1" applyFill="1" applyBorder="1" applyAlignment="1">
      <alignment horizontal="right" vertical="center" indent="1"/>
    </xf>
    <xf numFmtId="171" fontId="27" fillId="3" borderId="6" xfId="0" applyNumberFormat="1" applyFont="1" applyFill="1" applyBorder="1" applyAlignment="1">
      <alignment horizontal="right" vertical="center" indent="1"/>
    </xf>
    <xf numFmtId="165" fontId="27" fillId="3" borderId="6" xfId="0" applyNumberFormat="1" applyFont="1" applyFill="1" applyBorder="1" applyAlignment="1">
      <alignment horizontal="right" vertical="center" indent="1"/>
    </xf>
    <xf numFmtId="169" fontId="27" fillId="3" borderId="6" xfId="0" applyNumberFormat="1" applyFont="1" applyFill="1" applyBorder="1" applyAlignment="1">
      <alignment horizontal="right" vertical="center" indent="1"/>
    </xf>
    <xf numFmtId="172" fontId="25" fillId="0" borderId="0" xfId="0" applyNumberFormat="1" applyFont="1" applyAlignment="1">
      <alignment horizontal="right" vertical="center" indent="1"/>
    </xf>
    <xf numFmtId="173" fontId="25" fillId="0" borderId="0" xfId="0" applyNumberFormat="1" applyFont="1" applyAlignment="1">
      <alignment horizontal="right" vertical="center" indent="1"/>
    </xf>
    <xf numFmtId="172" fontId="27" fillId="3" borderId="6" xfId="0" applyNumberFormat="1" applyFont="1" applyFill="1" applyBorder="1" applyAlignment="1">
      <alignment horizontal="right" vertical="center" indent="1"/>
    </xf>
    <xf numFmtId="173" fontId="27" fillId="3" borderId="6" xfId="0" applyNumberFormat="1" applyFont="1" applyFill="1" applyBorder="1" applyAlignment="1">
      <alignment horizontal="right" vertical="center" indent="1"/>
    </xf>
    <xf numFmtId="172" fontId="27" fillId="3" borderId="7" xfId="0" applyNumberFormat="1" applyFont="1" applyFill="1" applyBorder="1" applyAlignment="1">
      <alignment horizontal="right" vertical="center" indent="1"/>
    </xf>
    <xf numFmtId="0" fontId="9" fillId="0" borderId="3" xfId="0" applyFont="1" applyBorder="1" applyAlignment="1">
      <alignment horizontal="right" vertical="center" wrapText="1" indent="1"/>
    </xf>
    <xf numFmtId="165" fontId="16" fillId="5" borderId="2" xfId="0" applyNumberFormat="1" applyFont="1" applyFill="1" applyBorder="1" applyAlignment="1" applyProtection="1">
      <alignment horizontal="right" vertical="center" indent="1"/>
      <protection locked="0"/>
    </xf>
    <xf numFmtId="0" fontId="26" fillId="0" borderId="0" xfId="0" applyFont="1" applyAlignment="1">
      <alignment horizontal="left" vertical="center" wrapText="1"/>
    </xf>
    <xf numFmtId="166" fontId="16" fillId="5" borderId="2" xfId="0" applyNumberFormat="1" applyFont="1" applyFill="1" applyBorder="1" applyAlignment="1" applyProtection="1">
      <alignment horizontal="right" vertical="center" indent="1"/>
      <protection locked="0"/>
    </xf>
    <xf numFmtId="172" fontId="16" fillId="5" borderId="2" xfId="0" applyNumberFormat="1" applyFont="1" applyFill="1" applyBorder="1" applyAlignment="1" applyProtection="1">
      <alignment horizontal="right" vertical="center" indent="1"/>
      <protection locked="0"/>
    </xf>
    <xf numFmtId="171" fontId="16" fillId="5" borderId="2" xfId="0" applyNumberFormat="1" applyFont="1" applyFill="1" applyBorder="1" applyAlignment="1" applyProtection="1">
      <alignment horizontal="right" vertical="center" indent="1"/>
      <protection locked="0"/>
    </xf>
    <xf numFmtId="49" fontId="27" fillId="3" borderId="7" xfId="0" applyNumberFormat="1" applyFont="1" applyFill="1" applyBorder="1" applyAlignment="1">
      <alignment horizontal="right" vertical="center" indent="1"/>
    </xf>
    <xf numFmtId="172" fontId="20" fillId="0" borderId="0" xfId="0" applyNumberFormat="1" applyFont="1" applyAlignment="1">
      <alignment horizontal="right" vertical="center" indent="1"/>
    </xf>
    <xf numFmtId="172" fontId="6" fillId="3" borderId="6" xfId="0" applyNumberFormat="1" applyFont="1" applyFill="1" applyBorder="1" applyAlignment="1">
      <alignment horizontal="right" vertical="center" indent="1"/>
    </xf>
    <xf numFmtId="172" fontId="6" fillId="3" borderId="7" xfId="0" applyNumberFormat="1" applyFont="1" applyFill="1" applyBorder="1" applyAlignment="1">
      <alignment horizontal="right" vertical="center" indent="1"/>
    </xf>
    <xf numFmtId="0" fontId="28" fillId="3" borderId="5" xfId="0" applyFont="1" applyFill="1" applyBorder="1" applyAlignment="1">
      <alignment horizontal="left" vertical="center" wrapText="1" indent="1"/>
    </xf>
    <xf numFmtId="0" fontId="24" fillId="3" borderId="7" xfId="0" applyFont="1" applyFill="1" applyBorder="1" applyAlignment="1">
      <alignment horizontal="left" vertical="center" wrapText="1" indent="1"/>
    </xf>
    <xf numFmtId="0" fontId="28" fillId="0" borderId="5" xfId="0" applyFont="1" applyBorder="1" applyAlignment="1">
      <alignment horizontal="left" vertical="center" wrapText="1" indent="1"/>
    </xf>
    <xf numFmtId="0" fontId="24" fillId="0" borderId="7" xfId="0" applyFont="1" applyBorder="1" applyAlignment="1">
      <alignment horizontal="left" vertical="center" wrapText="1" indent="1"/>
    </xf>
    <xf numFmtId="165" fontId="21" fillId="0" borderId="0" xfId="0" applyNumberFormat="1" applyFont="1"/>
    <xf numFmtId="0" fontId="32" fillId="3" borderId="0" xfId="0" applyFont="1" applyFill="1" applyAlignment="1">
      <alignment horizontal="right" vertical="center"/>
    </xf>
    <xf numFmtId="0" fontId="32" fillId="0" borderId="0" xfId="0" applyFont="1" applyAlignment="1">
      <alignment horizontal="right" vertical="center"/>
    </xf>
    <xf numFmtId="49" fontId="16" fillId="5" borderId="2" xfId="0" applyNumberFormat="1" applyFont="1" applyFill="1" applyBorder="1" applyAlignment="1" applyProtection="1">
      <alignment horizontal="left" vertical="center" indent="1"/>
      <protection locked="0"/>
    </xf>
    <xf numFmtId="0" fontId="19" fillId="0" borderId="0" xfId="0" applyFont="1" applyAlignment="1">
      <alignment horizontal="left" vertical="top" wrapText="1" indent="1"/>
    </xf>
    <xf numFmtId="0" fontId="11" fillId="0" borderId="0" xfId="0" applyFont="1" applyAlignment="1">
      <alignment horizontal="left" vertical="center" indent="1"/>
    </xf>
    <xf numFmtId="0" fontId="22" fillId="0" borderId="0" xfId="0" applyFont="1" applyAlignment="1">
      <alignment horizontal="center" vertical="center"/>
    </xf>
    <xf numFmtId="0" fontId="19" fillId="3" borderId="0" xfId="0" applyFont="1" applyFill="1" applyAlignment="1">
      <alignment horizontal="left" vertical="center" indent="1"/>
    </xf>
    <xf numFmtId="0" fontId="19" fillId="0" borderId="0" xfId="0" applyFont="1" applyAlignment="1">
      <alignment horizontal="left" vertical="center" indent="1"/>
    </xf>
    <xf numFmtId="0" fontId="24" fillId="0" borderId="0" xfId="0" applyFont="1" applyAlignment="1">
      <alignment horizontal="left" vertical="center" indent="1"/>
    </xf>
    <xf numFmtId="164" fontId="25" fillId="0" borderId="0" xfId="0" applyNumberFormat="1" applyFont="1" applyAlignment="1">
      <alignment horizontal="right" vertical="center" indent="1"/>
    </xf>
    <xf numFmtId="0" fontId="26" fillId="0" borderId="0" xfId="0" applyFont="1" applyAlignment="1">
      <alignment horizontal="left" vertical="center" indent="1"/>
    </xf>
    <xf numFmtId="165" fontId="25" fillId="0" borderId="0" xfId="0" applyNumberFormat="1" applyFont="1" applyAlignment="1">
      <alignment horizontal="right" vertical="center" indent="1"/>
    </xf>
    <xf numFmtId="0" fontId="27" fillId="3" borderId="5" xfId="0" applyFont="1" applyFill="1" applyBorder="1" applyAlignment="1">
      <alignment horizontal="left" vertical="center" indent="1"/>
    </xf>
    <xf numFmtId="165" fontId="27" fillId="3" borderId="7" xfId="0" applyNumberFormat="1" applyFont="1" applyFill="1" applyBorder="1" applyAlignment="1">
      <alignment horizontal="right" vertical="center" indent="1"/>
    </xf>
    <xf numFmtId="166" fontId="27" fillId="3" borderId="7" xfId="0" applyNumberFormat="1" applyFont="1" applyFill="1" applyBorder="1" applyAlignment="1">
      <alignment horizontal="right" vertical="center" indent="1"/>
    </xf>
    <xf numFmtId="166" fontId="25" fillId="0" borderId="0" xfId="0" applyNumberFormat="1" applyFont="1" applyAlignment="1">
      <alignment horizontal="right" vertical="center" indent="1"/>
    </xf>
    <xf numFmtId="169" fontId="25" fillId="0" borderId="0" xfId="0" applyNumberFormat="1" applyFont="1" applyAlignment="1">
      <alignment horizontal="right" vertical="center" indent="1"/>
    </xf>
    <xf numFmtId="171" fontId="27" fillId="3" borderId="7" xfId="0" applyNumberFormat="1" applyFont="1" applyFill="1" applyBorder="1" applyAlignment="1">
      <alignment horizontal="right" vertical="center" indent="1"/>
    </xf>
    <xf numFmtId="0" fontId="6" fillId="3" borderId="0" xfId="0" applyFont="1" applyFill="1" applyAlignment="1">
      <alignment horizontal="left" vertical="center" indent="1"/>
    </xf>
    <xf numFmtId="49" fontId="27" fillId="3" borderId="0" xfId="0" applyNumberFormat="1" applyFont="1" applyFill="1" applyAlignment="1">
      <alignment horizontal="left" vertical="center" indent="1"/>
    </xf>
    <xf numFmtId="165" fontId="25" fillId="3" borderId="0" xfId="0" applyNumberFormat="1" applyFont="1" applyFill="1" applyAlignment="1">
      <alignment horizontal="right" vertical="center" indent="1"/>
    </xf>
    <xf numFmtId="0" fontId="26" fillId="3" borderId="0" xfId="0" applyFont="1" applyFill="1" applyAlignment="1">
      <alignment horizontal="left" vertical="center" indent="1"/>
    </xf>
    <xf numFmtId="0" fontId="6" fillId="0" borderId="0" xfId="0" applyFont="1" applyAlignment="1">
      <alignment horizontal="left" vertical="center" indent="1"/>
    </xf>
    <xf numFmtId="49" fontId="27" fillId="0" borderId="0" xfId="0" applyNumberFormat="1" applyFont="1" applyAlignment="1">
      <alignment horizontal="left" vertical="center" indent="1"/>
    </xf>
    <xf numFmtId="169" fontId="25" fillId="3" borderId="0" xfId="0" applyNumberFormat="1" applyFont="1" applyFill="1" applyAlignment="1">
      <alignment horizontal="right" vertical="center" indent="1"/>
    </xf>
    <xf numFmtId="171" fontId="25" fillId="0" borderId="0" xfId="0" applyNumberFormat="1" applyFont="1" applyAlignment="1">
      <alignment horizontal="right" vertical="center" indent="1"/>
    </xf>
    <xf numFmtId="171" fontId="25" fillId="3" borderId="0" xfId="0" applyNumberFormat="1" applyFont="1" applyFill="1" applyAlignment="1">
      <alignment horizontal="right" vertical="center" indent="1"/>
    </xf>
    <xf numFmtId="0" fontId="9" fillId="0" borderId="3" xfId="0" applyFont="1" applyBorder="1" applyAlignment="1">
      <alignment horizontal="center" vertical="center"/>
    </xf>
    <xf numFmtId="0" fontId="9" fillId="0" borderId="3" xfId="0" applyFont="1" applyBorder="1" applyAlignment="1">
      <alignment horizontal="left" vertical="center" indent="1"/>
    </xf>
    <xf numFmtId="49" fontId="7" fillId="0" borderId="0" xfId="0" applyNumberFormat="1" applyFont="1" applyAlignment="1">
      <alignment horizontal="center" vertical="center"/>
    </xf>
    <xf numFmtId="0" fontId="27" fillId="3" borderId="2" xfId="0" applyFont="1" applyFill="1" applyBorder="1" applyAlignment="1">
      <alignment horizontal="left" vertical="center" wrapText="1" indent="1"/>
    </xf>
    <xf numFmtId="0" fontId="20" fillId="3" borderId="2" xfId="0" applyFont="1" applyFill="1" applyBorder="1" applyAlignment="1">
      <alignment horizontal="left" vertical="center" wrapText="1" indent="1"/>
    </xf>
    <xf numFmtId="0" fontId="29" fillId="3" borderId="8" xfId="0" applyFont="1" applyFill="1" applyBorder="1" applyAlignment="1">
      <alignment horizontal="left" vertical="center" wrapText="1" indent="1"/>
    </xf>
    <xf numFmtId="165" fontId="30" fillId="3" borderId="9" xfId="0" applyNumberFormat="1" applyFont="1" applyFill="1" applyBorder="1" applyAlignment="1">
      <alignment horizontal="left" vertical="center" indent="1"/>
    </xf>
    <xf numFmtId="166" fontId="30" fillId="3" borderId="9" xfId="0" applyNumberFormat="1" applyFont="1" applyFill="1" applyBorder="1" applyAlignment="1">
      <alignment horizontal="left" vertical="center" indent="1"/>
    </xf>
    <xf numFmtId="0" fontId="31" fillId="3" borderId="10" xfId="0" applyFont="1" applyFill="1" applyBorder="1" applyAlignment="1">
      <alignment horizontal="left" vertical="center" indent="1"/>
    </xf>
    <xf numFmtId="172" fontId="30" fillId="3" borderId="9" xfId="0" applyNumberFormat="1" applyFont="1" applyFill="1" applyBorder="1" applyAlignment="1">
      <alignment horizontal="left" vertical="center" indent="1"/>
    </xf>
    <xf numFmtId="171" fontId="30" fillId="3" borderId="9" xfId="0" applyNumberFormat="1" applyFont="1" applyFill="1" applyBorder="1" applyAlignment="1">
      <alignment horizontal="left" vertical="center" indent="1"/>
    </xf>
    <xf numFmtId="0" fontId="27" fillId="0" borderId="11" xfId="0" applyFont="1" applyBorder="1" applyAlignment="1">
      <alignment horizontal="left" vertical="center" indent="1"/>
    </xf>
    <xf numFmtId="0" fontId="15" fillId="2" borderId="0" xfId="0" applyFont="1" applyFill="1" applyAlignment="1">
      <alignment horizontal="left" vertical="center" indent="1"/>
    </xf>
    <xf numFmtId="0" fontId="8" fillId="3" borderId="0" xfId="0" applyFont="1" applyFill="1" applyAlignment="1">
      <alignment horizontal="left" vertical="center" wrapText="1" indent="1"/>
    </xf>
    <xf numFmtId="0" fontId="8" fillId="0" borderId="0" xfId="0" applyFont="1" applyAlignment="1">
      <alignment horizontal="left" vertical="center" wrapText="1" indent="1"/>
    </xf>
    <xf numFmtId="0" fontId="11" fillId="0" borderId="0" xfId="0" applyFont="1" applyAlignment="1">
      <alignment horizontal="left" vertical="top" wrapText="1" indent="1"/>
    </xf>
    <xf numFmtId="0" fontId="33"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3727C"/>
      <rgbColor rgb="FF9FBECF"/>
      <rgbColor rgb="FF6B7A85"/>
      <rgbColor rgb="FF9999FF"/>
      <rgbColor rgb="FF993366"/>
      <rgbColor rgb="FFF4F6F8"/>
      <rgbColor rgb="FFEDF4F5"/>
      <rgbColor rgb="FF660066"/>
      <rgbColor rgb="FFFF8080"/>
      <rgbColor rgb="FF0066CC"/>
      <rgbColor rgb="FFC7D9E2"/>
      <rgbColor rgb="FF000080"/>
      <rgbColor rgb="FFFF00FF"/>
      <rgbColor rgb="FFFFFF00"/>
      <rgbColor rgb="FF00FFFF"/>
      <rgbColor rgb="FF800080"/>
      <rgbColor rgb="FF800000"/>
      <rgbColor rgb="FF008080"/>
      <rgbColor rgb="FF0000FF"/>
      <rgbColor rgb="FF00CCFF"/>
      <rgbColor rgb="FFCCFFFF"/>
      <rgbColor rgb="FFD6DDE2"/>
      <rgbColor rgb="FFFFFF99"/>
      <rgbColor rgb="FF8FB8C9"/>
      <rgbColor rgb="FFFF99CC"/>
      <rgbColor rgb="FFCC99FF"/>
      <rgbColor rgb="FFFFCC99"/>
      <rgbColor rgb="FF3366FF"/>
      <rgbColor rgb="FF33CCCC"/>
      <rgbColor rgb="FF99CC00"/>
      <rgbColor rgb="FFFFCC00"/>
      <rgbColor rgb="FFFF9900"/>
      <rgbColor rgb="FFFF6600"/>
      <rgbColor rgb="FF666699"/>
      <rgbColor rgb="FF969696"/>
      <rgbColor rgb="FF083152"/>
      <rgbColor rgb="FF3F8E97"/>
      <rgbColor rgb="FF003300"/>
      <rgbColor rgb="FF1A1A1A"/>
      <rgbColor rgb="FF993300"/>
      <rgbColor rgb="FF993366"/>
      <rgbColor rgb="FF0B4A63"/>
      <rgbColor rgb="FF3A4A5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Total revenue</c:v>
          </c:tx>
          <c:spPr>
            <a:solidFill>
              <a:srgbClr val="08315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'MONTHLY INPUTS'!$C$13:$N$13</c:f>
              <c:strCache>
                <c:ptCount val="12"/>
                <c:pt idx="0">
                  <c:v>Jan 2025</c:v>
                </c:pt>
                <c:pt idx="1">
                  <c:v>Feb 2025</c:v>
                </c:pt>
                <c:pt idx="2">
                  <c:v>Mar 2025</c:v>
                </c:pt>
                <c:pt idx="3">
                  <c:v>Apr 2025</c:v>
                </c:pt>
                <c:pt idx="4">
                  <c:v>May 2025</c:v>
                </c:pt>
                <c:pt idx="5">
                  <c:v>Jun 2025</c:v>
                </c:pt>
                <c:pt idx="6">
                  <c:v>Jul 2025</c:v>
                </c:pt>
                <c:pt idx="7">
                  <c:v>Aug 2025</c:v>
                </c:pt>
                <c:pt idx="8">
                  <c:v>Sep 2025</c:v>
                </c:pt>
                <c:pt idx="9">
                  <c:v>Oct 2025</c:v>
                </c:pt>
                <c:pt idx="10">
                  <c:v>Nov 2025</c:v>
                </c:pt>
                <c:pt idx="11">
                  <c:v>Dec 2025</c:v>
                </c:pt>
              </c:strCache>
            </c:strRef>
          </c:cat>
          <c:val>
            <c:numRef>
              <c:f>'MONTHLY INPUTS'!$C$22:$N$22</c:f>
              <c:numCache>
                <c:formatCode>\$#,##0;\(\$#,##0\);"-"</c:formatCode>
                <c:ptCount val="12"/>
                <c:pt idx="0">
                  <c:v>446500</c:v>
                </c:pt>
                <c:pt idx="1">
                  <c:v>416800</c:v>
                </c:pt>
                <c:pt idx="2">
                  <c:v>501200</c:v>
                </c:pt>
                <c:pt idx="3">
                  <c:v>582100</c:v>
                </c:pt>
                <c:pt idx="4">
                  <c:v>670400</c:v>
                </c:pt>
                <c:pt idx="5">
                  <c:v>730200</c:v>
                </c:pt>
                <c:pt idx="6">
                  <c:v>783800</c:v>
                </c:pt>
                <c:pt idx="7">
                  <c:v>757100</c:v>
                </c:pt>
                <c:pt idx="8">
                  <c:v>697600</c:v>
                </c:pt>
                <c:pt idx="9">
                  <c:v>642900</c:v>
                </c:pt>
                <c:pt idx="10">
                  <c:v>570800</c:v>
                </c:pt>
                <c:pt idx="11">
                  <c:v>518100</c:v>
                </c:pt>
              </c:numCache>
            </c:numRef>
          </c:val>
          <c:extLst>
            <c:ext xmlns:c16="http://schemas.microsoft.com/office/drawing/2014/chart" uri="{C3380CC4-5D6E-409C-BE32-E72D297353CC}">
              <c16:uniqueId val="{00000000-BF51-434B-9780-390879BD10D1}"/>
            </c:ext>
          </c:extLst>
        </c:ser>
        <c:ser>
          <c:idx val="1"/>
          <c:order val="1"/>
          <c:tx>
            <c:v>Gross profit</c:v>
          </c:tx>
          <c:spPr>
            <a:solidFill>
              <a:srgbClr val="23727C"/>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'MONTHLY INPUTS'!$C$13:$N$13</c:f>
              <c:strCache>
                <c:ptCount val="12"/>
                <c:pt idx="0">
                  <c:v>Jan 2025</c:v>
                </c:pt>
                <c:pt idx="1">
                  <c:v>Feb 2025</c:v>
                </c:pt>
                <c:pt idx="2">
                  <c:v>Mar 2025</c:v>
                </c:pt>
                <c:pt idx="3">
                  <c:v>Apr 2025</c:v>
                </c:pt>
                <c:pt idx="4">
                  <c:v>May 2025</c:v>
                </c:pt>
                <c:pt idx="5">
                  <c:v>Jun 2025</c:v>
                </c:pt>
                <c:pt idx="6">
                  <c:v>Jul 2025</c:v>
                </c:pt>
                <c:pt idx="7">
                  <c:v>Aug 2025</c:v>
                </c:pt>
                <c:pt idx="8">
                  <c:v>Sep 2025</c:v>
                </c:pt>
                <c:pt idx="9">
                  <c:v>Oct 2025</c:v>
                </c:pt>
                <c:pt idx="10">
                  <c:v>Nov 2025</c:v>
                </c:pt>
                <c:pt idx="11">
                  <c:v>Dec 2025</c:v>
                </c:pt>
              </c:strCache>
            </c:strRef>
          </c:cat>
          <c:val>
            <c:numRef>
              <c:f>'MONTHLY INPUTS'!$C$33:$N$33</c:f>
              <c:numCache>
                <c:formatCode>\$#,##0;\(\$#,##0\);"-"</c:formatCode>
                <c:ptCount val="12"/>
                <c:pt idx="0">
                  <c:v>115200</c:v>
                </c:pt>
                <c:pt idx="1">
                  <c:v>105000</c:v>
                </c:pt>
                <c:pt idx="2">
                  <c:v>123200</c:v>
                </c:pt>
                <c:pt idx="3">
                  <c:v>136200</c:v>
                </c:pt>
                <c:pt idx="4">
                  <c:v>148100</c:v>
                </c:pt>
                <c:pt idx="5">
                  <c:v>150400</c:v>
                </c:pt>
                <c:pt idx="6">
                  <c:v>152000</c:v>
                </c:pt>
                <c:pt idx="7">
                  <c:v>157400</c:v>
                </c:pt>
                <c:pt idx="8">
                  <c:v>155600</c:v>
                </c:pt>
                <c:pt idx="9">
                  <c:v>151700</c:v>
                </c:pt>
                <c:pt idx="10">
                  <c:v>142100</c:v>
                </c:pt>
                <c:pt idx="11">
                  <c:v>133200</c:v>
                </c:pt>
              </c:numCache>
            </c:numRef>
          </c:val>
          <c:extLst>
            <c:ext xmlns:c16="http://schemas.microsoft.com/office/drawing/2014/chart" uri="{C3380CC4-5D6E-409C-BE32-E72D297353CC}">
              <c16:uniqueId val="{00000001-BF51-434B-9780-390879BD10D1}"/>
            </c:ext>
          </c:extLst>
        </c:ser>
        <c:dLbls>
          <c:showLegendKey val="0"/>
          <c:showVal val="0"/>
          <c:showCatName val="0"/>
          <c:showSerName val="0"/>
          <c:showPercent val="0"/>
          <c:showBubbleSize val="0"/>
        </c:dLbls>
        <c:gapWidth val="60"/>
        <c:overlap val="-15"/>
        <c:axId val="13131569"/>
        <c:axId val="24861993"/>
      </c:barChart>
      <c:catAx>
        <c:axId val="13131569"/>
        <c:scaling>
          <c:orientation val="minMax"/>
        </c:scaling>
        <c:delete val="0"/>
        <c:axPos val="b"/>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24861993"/>
        <c:crosses val="autoZero"/>
        <c:auto val="1"/>
        <c:lblAlgn val="ctr"/>
        <c:lblOffset val="100"/>
        <c:tickLblSkip val="1"/>
        <c:tickMarkSkip val="1"/>
        <c:noMultiLvlLbl val="0"/>
      </c:catAx>
      <c:valAx>
        <c:axId val="24861993"/>
        <c:scaling>
          <c:orientation val="minMax"/>
        </c:scaling>
        <c:delete val="0"/>
        <c:axPos val="l"/>
        <c:majorGridlines>
          <c:spPr>
            <a:ln w="6480">
              <a:solidFill>
                <a:srgbClr val="D6DDE2"/>
              </a:solidFill>
              <a:round/>
            </a:ln>
          </c:spPr>
        </c:majorGridlines>
        <c:numFmt formatCode="\$#,##0;&quot;($&quot;#,##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13131569"/>
        <c:crosses val="autoZero"/>
        <c:crossBetween val="between"/>
      </c:valAx>
      <c:spPr>
        <a:noFill/>
        <a:ln w="0">
          <a:noFill/>
        </a:ln>
      </c:spPr>
    </c:plotArea>
    <c:legend>
      <c:legendPos val="b"/>
      <c:overlay val="0"/>
      <c:spPr>
        <a:noFill/>
        <a:ln w="0">
          <a:noFill/>
        </a:ln>
      </c:spPr>
      <c:txPr>
        <a:bodyPr/>
        <a:lstStyle/>
        <a:p>
          <a:pPr>
            <a:defRPr sz="800" b="0" strike="noStrike" spc="-1">
              <a:solidFill>
                <a:srgbClr val="000000"/>
              </a:solidFill>
              <a:latin typeface="Arial"/>
            </a:defRPr>
          </a:pPr>
          <a:endParaRPr lang="en-US"/>
        </a:p>
      </c:txPr>
    </c:legend>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lineChart>
        <c:grouping val="standard"/>
        <c:varyColors val="0"/>
        <c:ser>
          <c:idx val="0"/>
          <c:order val="0"/>
          <c:tx>
            <c:v>Gross margin %</c:v>
          </c:tx>
          <c:spPr>
            <a:ln w="21960">
              <a:solidFill>
                <a:srgbClr val="083152"/>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'MONTHLY INPUTS'!$C$13:$N$13</c:f>
              <c:strCache>
                <c:ptCount val="12"/>
                <c:pt idx="0">
                  <c:v>Jan 2025</c:v>
                </c:pt>
                <c:pt idx="1">
                  <c:v>Feb 2025</c:v>
                </c:pt>
                <c:pt idx="2">
                  <c:v>Mar 2025</c:v>
                </c:pt>
                <c:pt idx="3">
                  <c:v>Apr 2025</c:v>
                </c:pt>
                <c:pt idx="4">
                  <c:v>May 2025</c:v>
                </c:pt>
                <c:pt idx="5">
                  <c:v>Jun 2025</c:v>
                </c:pt>
                <c:pt idx="6">
                  <c:v>Jul 2025</c:v>
                </c:pt>
                <c:pt idx="7">
                  <c:v>Aug 2025</c:v>
                </c:pt>
                <c:pt idx="8">
                  <c:v>Sep 2025</c:v>
                </c:pt>
                <c:pt idx="9">
                  <c:v>Oct 2025</c:v>
                </c:pt>
                <c:pt idx="10">
                  <c:v>Nov 2025</c:v>
                </c:pt>
                <c:pt idx="11">
                  <c:v>Dec 2025</c:v>
                </c:pt>
              </c:strCache>
            </c:strRef>
          </c:cat>
          <c:val>
            <c:numRef>
              <c:f>'MONTHLY INPUTS'!$C$34:$N$34</c:f>
              <c:numCache>
                <c:formatCode>0.0%</c:formatCode>
                <c:ptCount val="12"/>
                <c:pt idx="0">
                  <c:v>0.25800671892497201</c:v>
                </c:pt>
                <c:pt idx="1">
                  <c:v>0.2519193857965451</c:v>
                </c:pt>
                <c:pt idx="2">
                  <c:v>0.24581005586592178</c:v>
                </c:pt>
                <c:pt idx="3">
                  <c:v>0.23398041573612782</c:v>
                </c:pt>
                <c:pt idx="4">
                  <c:v>0.22091288782816229</c:v>
                </c:pt>
                <c:pt idx="5">
                  <c:v>0.20597096685839497</c:v>
                </c:pt>
                <c:pt idx="6">
                  <c:v>0.19392702219954069</c:v>
                </c:pt>
                <c:pt idx="7">
                  <c:v>0.20789856029586581</c:v>
                </c:pt>
                <c:pt idx="8">
                  <c:v>0.22305045871559634</c:v>
                </c:pt>
                <c:pt idx="9">
                  <c:v>0.23596204697464612</c:v>
                </c:pt>
                <c:pt idx="10">
                  <c:v>0.24894884372810092</c:v>
                </c:pt>
                <c:pt idx="11">
                  <c:v>0.25709322524609146</c:v>
                </c:pt>
              </c:numCache>
            </c:numRef>
          </c:val>
          <c:smooth val="0"/>
          <c:extLst>
            <c:ext xmlns:c16="http://schemas.microsoft.com/office/drawing/2014/chart" uri="{C3380CC4-5D6E-409C-BE32-E72D297353CC}">
              <c16:uniqueId val="{00000000-C658-49B5-BD60-E6D37DDA74BE}"/>
            </c:ext>
          </c:extLst>
        </c:ser>
        <c:ser>
          <c:idx val="1"/>
          <c:order val="1"/>
          <c:tx>
            <c:v>Operating margin %</c:v>
          </c:tx>
          <c:spPr>
            <a:ln w="21960">
              <a:solidFill>
                <a:srgbClr val="23727C"/>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'MONTHLY INPUTS'!$C$13:$N$13</c:f>
              <c:strCache>
                <c:ptCount val="12"/>
                <c:pt idx="0">
                  <c:v>Jan 2025</c:v>
                </c:pt>
                <c:pt idx="1">
                  <c:v>Feb 2025</c:v>
                </c:pt>
                <c:pt idx="2">
                  <c:v>Mar 2025</c:v>
                </c:pt>
                <c:pt idx="3">
                  <c:v>Apr 2025</c:v>
                </c:pt>
                <c:pt idx="4">
                  <c:v>May 2025</c:v>
                </c:pt>
                <c:pt idx="5">
                  <c:v>Jun 2025</c:v>
                </c:pt>
                <c:pt idx="6">
                  <c:v>Jul 2025</c:v>
                </c:pt>
                <c:pt idx="7">
                  <c:v>Aug 2025</c:v>
                </c:pt>
                <c:pt idx="8">
                  <c:v>Sep 2025</c:v>
                </c:pt>
                <c:pt idx="9">
                  <c:v>Oct 2025</c:v>
                </c:pt>
                <c:pt idx="10">
                  <c:v>Nov 2025</c:v>
                </c:pt>
                <c:pt idx="11">
                  <c:v>Dec 2025</c:v>
                </c:pt>
              </c:strCache>
            </c:strRef>
          </c:cat>
          <c:val>
            <c:numRef>
              <c:f>'MONTHLY INPUTS'!$C$50:$N$50</c:f>
              <c:numCache>
                <c:formatCode>0.0%</c:formatCode>
                <c:ptCount val="12"/>
                <c:pt idx="0">
                  <c:v>3.0571108622620382E-2</c:v>
                </c:pt>
                <c:pt idx="1">
                  <c:v>-2.0393474088291745E-3</c:v>
                </c:pt>
                <c:pt idx="2">
                  <c:v>3.6213088587390266E-2</c:v>
                </c:pt>
                <c:pt idx="3">
                  <c:v>4.8479642673080227E-2</c:v>
                </c:pt>
                <c:pt idx="4">
                  <c:v>5.4027446300715994E-2</c:v>
                </c:pt>
                <c:pt idx="5">
                  <c:v>5.0287592440427277E-2</c:v>
                </c:pt>
                <c:pt idx="6">
                  <c:v>4.6338351620311302E-2</c:v>
                </c:pt>
                <c:pt idx="7">
                  <c:v>5.7218333113195088E-2</c:v>
                </c:pt>
                <c:pt idx="8">
                  <c:v>6.2313646788990824E-2</c:v>
                </c:pt>
                <c:pt idx="9">
                  <c:v>6.6837766371130813E-2</c:v>
                </c:pt>
                <c:pt idx="10">
                  <c:v>6.2228451296426068E-2</c:v>
                </c:pt>
                <c:pt idx="11">
                  <c:v>4.211542173325613E-2</c:v>
                </c:pt>
              </c:numCache>
            </c:numRef>
          </c:val>
          <c:smooth val="0"/>
          <c:extLst>
            <c:ext xmlns:c16="http://schemas.microsoft.com/office/drawing/2014/chart" uri="{C3380CC4-5D6E-409C-BE32-E72D297353CC}">
              <c16:uniqueId val="{00000001-C658-49B5-BD60-E6D37DDA74BE}"/>
            </c:ext>
          </c:extLst>
        </c:ser>
        <c:dLbls>
          <c:showLegendKey val="0"/>
          <c:showVal val="0"/>
          <c:showCatName val="0"/>
          <c:showSerName val="0"/>
          <c:showPercent val="0"/>
          <c:showBubbleSize val="0"/>
        </c:dLbls>
        <c:hiLowLines>
          <c:spPr>
            <a:ln w="0">
              <a:noFill/>
            </a:ln>
          </c:spPr>
        </c:hiLowLines>
        <c:smooth val="0"/>
        <c:axId val="41215960"/>
        <c:axId val="26505777"/>
      </c:lineChart>
      <c:catAx>
        <c:axId val="41215960"/>
        <c:scaling>
          <c:orientation val="minMax"/>
        </c:scaling>
        <c:delete val="0"/>
        <c:axPos val="b"/>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26505777"/>
        <c:crosses val="autoZero"/>
        <c:auto val="1"/>
        <c:lblAlgn val="ctr"/>
        <c:lblOffset val="100"/>
        <c:tickLblSkip val="1"/>
        <c:tickMarkSkip val="1"/>
        <c:noMultiLvlLbl val="0"/>
      </c:catAx>
      <c:valAx>
        <c:axId val="26505777"/>
        <c:scaling>
          <c:orientation val="minMax"/>
        </c:scaling>
        <c:delete val="0"/>
        <c:axPos val="l"/>
        <c:majorGridlines>
          <c:spPr>
            <a:ln w="6480">
              <a:solidFill>
                <a:srgbClr val="D6DDE2"/>
              </a:solidFill>
              <a:round/>
            </a:ln>
          </c:spPr>
        </c:majorGridlines>
        <c:numFmt formatCode="0.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41215960"/>
        <c:crosses val="autoZero"/>
        <c:crossBetween val="between"/>
      </c:valAx>
      <c:spPr>
        <a:noFill/>
        <a:ln w="0">
          <a:noFill/>
        </a:ln>
      </c:spPr>
    </c:plotArea>
    <c:legend>
      <c:legendPos val="b"/>
      <c:overlay val="0"/>
      <c:spPr>
        <a:noFill/>
        <a:ln w="0">
          <a:noFill/>
        </a:ln>
      </c:spPr>
      <c:txPr>
        <a:bodyPr/>
        <a:lstStyle/>
        <a:p>
          <a:pPr>
            <a:defRPr sz="800" b="0" strike="noStrike" spc="-1">
              <a:solidFill>
                <a:srgbClr val="000000"/>
              </a:solidFill>
              <a:latin typeface="Arial"/>
            </a:defRPr>
          </a:pPr>
          <a:endParaRPr lang="en-US"/>
        </a:p>
      </c:txPr>
    </c:legend>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Reporting month cost</c:v>
          </c:tx>
          <c:spPr>
            <a:solidFill>
              <a:srgbClr val="083152"/>
            </a:solidFill>
            <a:ln w="0">
              <a:noFill/>
            </a:ln>
          </c:spPr>
          <c:invertIfNegative val="0"/>
          <c:dPt>
            <c:idx val="0"/>
            <c:invertIfNegative val="0"/>
            <c:bubble3D val="0"/>
            <c:spPr>
              <a:solidFill>
                <a:srgbClr val="083152"/>
              </a:solidFill>
              <a:ln w="0">
                <a:noFill/>
              </a:ln>
            </c:spPr>
            <c:extLst>
              <c:ext xmlns:c16="http://schemas.microsoft.com/office/drawing/2014/chart" uri="{C3380CC4-5D6E-409C-BE32-E72D297353CC}">
                <c16:uniqueId val="{00000001-8633-478B-8590-3E18A5C6D1B0}"/>
              </c:ext>
            </c:extLst>
          </c:dPt>
          <c:dPt>
            <c:idx val="1"/>
            <c:invertIfNegative val="0"/>
            <c:bubble3D val="0"/>
            <c:spPr>
              <a:solidFill>
                <a:srgbClr val="23727C"/>
              </a:solidFill>
              <a:ln w="0">
                <a:noFill/>
              </a:ln>
            </c:spPr>
            <c:extLst>
              <c:ext xmlns:c16="http://schemas.microsoft.com/office/drawing/2014/chart" uri="{C3380CC4-5D6E-409C-BE32-E72D297353CC}">
                <c16:uniqueId val="{00000003-8633-478B-8590-3E18A5C6D1B0}"/>
              </c:ext>
            </c:extLst>
          </c:dPt>
          <c:dPt>
            <c:idx val="2"/>
            <c:invertIfNegative val="0"/>
            <c:bubble3D val="0"/>
            <c:spPr>
              <a:solidFill>
                <a:srgbClr val="3F8E97"/>
              </a:solidFill>
              <a:ln w="0">
                <a:noFill/>
              </a:ln>
            </c:spPr>
            <c:extLst>
              <c:ext xmlns:c16="http://schemas.microsoft.com/office/drawing/2014/chart" uri="{C3380CC4-5D6E-409C-BE32-E72D297353CC}">
                <c16:uniqueId val="{00000005-8633-478B-8590-3E18A5C6D1B0}"/>
              </c:ext>
            </c:extLst>
          </c:dPt>
          <c:dPt>
            <c:idx val="3"/>
            <c:invertIfNegative val="0"/>
            <c:bubble3D val="0"/>
            <c:spPr>
              <a:solidFill>
                <a:srgbClr val="9FBECF"/>
              </a:solidFill>
              <a:ln w="0">
                <a:noFill/>
              </a:ln>
            </c:spPr>
            <c:extLst>
              <c:ext xmlns:c16="http://schemas.microsoft.com/office/drawing/2014/chart" uri="{C3380CC4-5D6E-409C-BE32-E72D297353CC}">
                <c16:uniqueId val="{00000007-8633-478B-8590-3E18A5C6D1B0}"/>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1-8633-478B-8590-3E18A5C6D1B0}"/>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3-8633-478B-8590-3E18A5C6D1B0}"/>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5-8633-478B-8590-3E18A5C6D1B0}"/>
                </c:ext>
              </c:extLst>
            </c:dLbl>
            <c:dLbl>
              <c:idx val="3"/>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7-8633-478B-8590-3E18A5C6D1B0}"/>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'EXECUTIVE DASHBOARD'!$W$6:$W$9</c:f>
              <c:strCache>
                <c:ptCount val="4"/>
                <c:pt idx="0">
                  <c:v>Direct Labour</c:v>
                </c:pt>
                <c:pt idx="1">
                  <c:v>Subcontractors</c:v>
                </c:pt>
                <c:pt idx="2">
                  <c:v>Materials</c:v>
                </c:pt>
                <c:pt idx="3">
                  <c:v>Other Direct</c:v>
                </c:pt>
              </c:strCache>
            </c:strRef>
          </c:cat>
          <c:val>
            <c:numRef>
              <c:f>'EXECUTIVE DASHBOARD'!$X$6:$X$9</c:f>
              <c:numCache>
                <c:formatCode>\$#,##0;\(\$#,##0\);"-"</c:formatCode>
                <c:ptCount val="4"/>
                <c:pt idx="0">
                  <c:v>119700</c:v>
                </c:pt>
                <c:pt idx="1">
                  <c:v>135100</c:v>
                </c:pt>
                <c:pt idx="2">
                  <c:v>104700</c:v>
                </c:pt>
                <c:pt idx="3">
                  <c:v>25400</c:v>
                </c:pt>
              </c:numCache>
            </c:numRef>
          </c:val>
          <c:extLst>
            <c:ext xmlns:c16="http://schemas.microsoft.com/office/drawing/2014/chart" uri="{C3380CC4-5D6E-409C-BE32-E72D297353CC}">
              <c16:uniqueId val="{00000008-8633-478B-8590-3E18A5C6D1B0}"/>
            </c:ext>
          </c:extLst>
        </c:ser>
        <c:dLbls>
          <c:showLegendKey val="0"/>
          <c:showVal val="0"/>
          <c:showCatName val="0"/>
          <c:showSerName val="0"/>
          <c:showPercent val="0"/>
          <c:showBubbleSize val="0"/>
        </c:dLbls>
        <c:gapWidth val="60"/>
        <c:overlap val="-15"/>
        <c:axId val="69398216"/>
        <c:axId val="48057446"/>
      </c:barChart>
      <c:catAx>
        <c:axId val="69398216"/>
        <c:scaling>
          <c:orientation val="minMax"/>
        </c:scaling>
        <c:delete val="0"/>
        <c:axPos val="b"/>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48057446"/>
        <c:crosses val="autoZero"/>
        <c:auto val="1"/>
        <c:lblAlgn val="ctr"/>
        <c:lblOffset val="100"/>
        <c:tickLblSkip val="1"/>
        <c:tickMarkSkip val="1"/>
        <c:noMultiLvlLbl val="0"/>
      </c:catAx>
      <c:valAx>
        <c:axId val="48057446"/>
        <c:scaling>
          <c:orientation val="minMax"/>
        </c:scaling>
        <c:delete val="0"/>
        <c:axPos val="l"/>
        <c:majorGridlines>
          <c:spPr>
            <a:ln w="6480">
              <a:solidFill>
                <a:srgbClr val="D6DDE2"/>
              </a:solidFill>
              <a:round/>
            </a:ln>
          </c:spPr>
        </c:majorGridlines>
        <c:numFmt formatCode="\$#,##0;&quot;($&quot;#,##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69398216"/>
        <c:crosses val="autoZero"/>
        <c:crossBetween val="between"/>
      </c:valAx>
      <c:spPr>
        <a:noFill/>
        <a:ln w="0">
          <a:noFill/>
        </a:ln>
      </c:spPr>
    </c:plotArea>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bar"/>
        <c:grouping val="clustered"/>
        <c:varyColors val="0"/>
        <c:ser>
          <c:idx val="0"/>
          <c:order val="0"/>
          <c:tx>
            <c:v>Estimated margin</c:v>
          </c:tx>
          <c:spPr>
            <a:solidFill>
              <a:srgbClr val="9FBECF"/>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'JOB PERFORMANCE'!$Y$10:$Y$19</c:f>
              <c:strCache>
                <c:ptCount val="5"/>
                <c:pt idx="0">
                  <c:v>Harbourview Retail Fit-Out</c:v>
                </c:pt>
                <c:pt idx="1">
                  <c:v>Cedar Ridge Multi-Unit Renovation</c:v>
                </c:pt>
                <c:pt idx="3">
                  <c:v>Northgate Roof Replacement</c:v>
                </c:pt>
                <c:pt idx="4">
                  <c:v>Willowbrook Tenant Improvements</c:v>
                </c:pt>
              </c:strCache>
            </c:strRef>
          </c:cat>
          <c:val>
            <c:numRef>
              <c:f>'JOB PERFORMANCE'!$Z$10:$Z$19</c:f>
              <c:numCache>
                <c:formatCode>0.0%</c:formatCode>
                <c:ptCount val="10"/>
                <c:pt idx="0">
                  <c:v>0.23017408123791103</c:v>
                </c:pt>
                <c:pt idx="1">
                  <c:v>0.22460186710598573</c:v>
                </c:pt>
                <c:pt idx="2">
                  <c:v>0</c:v>
                </c:pt>
                <c:pt idx="3">
                  <c:v>0.21130952380952381</c:v>
                </c:pt>
                <c:pt idx="4">
                  <c:v>0.26018287614297592</c:v>
                </c:pt>
                <c:pt idx="5">
                  <c:v>0</c:v>
                </c:pt>
                <c:pt idx="6">
                  <c:v>0</c:v>
                </c:pt>
                <c:pt idx="7">
                  <c:v>0</c:v>
                </c:pt>
                <c:pt idx="8">
                  <c:v>0</c:v>
                </c:pt>
                <c:pt idx="9">
                  <c:v>0</c:v>
                </c:pt>
              </c:numCache>
            </c:numRef>
          </c:val>
          <c:extLst>
            <c:ext xmlns:c16="http://schemas.microsoft.com/office/drawing/2014/chart" uri="{C3380CC4-5D6E-409C-BE32-E72D297353CC}">
              <c16:uniqueId val="{00000000-BF7F-46A1-B2FB-6619EC79F98D}"/>
            </c:ext>
          </c:extLst>
        </c:ser>
        <c:ser>
          <c:idx val="1"/>
          <c:order val="1"/>
          <c:tx>
            <c:v>Actual margin</c:v>
          </c:tx>
          <c:spPr>
            <a:solidFill>
              <a:srgbClr val="08315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'JOB PERFORMANCE'!$Y$10:$Y$19</c:f>
              <c:strCache>
                <c:ptCount val="5"/>
                <c:pt idx="0">
                  <c:v>Harbourview Retail Fit-Out</c:v>
                </c:pt>
                <c:pt idx="1">
                  <c:v>Cedar Ridge Multi-Unit Renovation</c:v>
                </c:pt>
                <c:pt idx="3">
                  <c:v>Northgate Roof Replacement</c:v>
                </c:pt>
                <c:pt idx="4">
                  <c:v>Willowbrook Tenant Improvements</c:v>
                </c:pt>
              </c:strCache>
            </c:strRef>
          </c:cat>
          <c:val>
            <c:numRef>
              <c:f>'JOB PERFORMANCE'!$AA$10:$AA$19</c:f>
              <c:numCache>
                <c:formatCode>0.0%</c:formatCode>
                <c:ptCount val="10"/>
                <c:pt idx="0">
                  <c:v>0.19148936170212766</c:v>
                </c:pt>
                <c:pt idx="1">
                  <c:v>0.2542559033498078</c:v>
                </c:pt>
                <c:pt idx="2">
                  <c:v>0</c:v>
                </c:pt>
                <c:pt idx="3">
                  <c:v>0.15059523809523809</c:v>
                </c:pt>
                <c:pt idx="4">
                  <c:v>0.29398725408700471</c:v>
                </c:pt>
                <c:pt idx="5">
                  <c:v>0</c:v>
                </c:pt>
                <c:pt idx="6">
                  <c:v>0</c:v>
                </c:pt>
                <c:pt idx="7">
                  <c:v>0</c:v>
                </c:pt>
                <c:pt idx="8">
                  <c:v>0</c:v>
                </c:pt>
                <c:pt idx="9">
                  <c:v>0</c:v>
                </c:pt>
              </c:numCache>
            </c:numRef>
          </c:val>
          <c:extLst>
            <c:ext xmlns:c16="http://schemas.microsoft.com/office/drawing/2014/chart" uri="{C3380CC4-5D6E-409C-BE32-E72D297353CC}">
              <c16:uniqueId val="{00000001-BF7F-46A1-B2FB-6619EC79F98D}"/>
            </c:ext>
          </c:extLst>
        </c:ser>
        <c:dLbls>
          <c:showLegendKey val="0"/>
          <c:showVal val="0"/>
          <c:showCatName val="0"/>
          <c:showSerName val="0"/>
          <c:showPercent val="0"/>
          <c:showBubbleSize val="0"/>
        </c:dLbls>
        <c:gapWidth val="60"/>
        <c:overlap val="-15"/>
        <c:axId val="301638"/>
        <c:axId val="78634412"/>
      </c:barChart>
      <c:catAx>
        <c:axId val="301638"/>
        <c:scaling>
          <c:orientation val="maxMin"/>
        </c:scaling>
        <c:delete val="0"/>
        <c:axPos val="l"/>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78634412"/>
        <c:crosses val="autoZero"/>
        <c:auto val="1"/>
        <c:lblAlgn val="ctr"/>
        <c:lblOffset val="100"/>
        <c:tickLblSkip val="1"/>
        <c:tickMarkSkip val="1"/>
        <c:noMultiLvlLbl val="0"/>
      </c:catAx>
      <c:valAx>
        <c:axId val="78634412"/>
        <c:scaling>
          <c:orientation val="minMax"/>
        </c:scaling>
        <c:delete val="0"/>
        <c:axPos val="b"/>
        <c:majorGridlines>
          <c:spPr>
            <a:ln w="6480">
              <a:solidFill>
                <a:srgbClr val="D6DDE2"/>
              </a:solidFill>
              <a:round/>
            </a:ln>
          </c:spPr>
        </c:majorGridlines>
        <c:numFmt formatCode="0.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301638"/>
        <c:crosses val="max"/>
        <c:crossBetween val="between"/>
      </c:valAx>
      <c:spPr>
        <a:noFill/>
        <a:ln w="0">
          <a:noFill/>
        </a:ln>
      </c:spPr>
    </c:plotArea>
    <c:legend>
      <c:legendPos val="b"/>
      <c:overlay val="0"/>
      <c:spPr>
        <a:noFill/>
        <a:ln w="0">
          <a:noFill/>
        </a:ln>
      </c:spPr>
      <c:txPr>
        <a:bodyPr/>
        <a:lstStyle/>
        <a:p>
          <a:pPr>
            <a:defRPr sz="800" b="0" strike="noStrike" spc="-1">
              <a:solidFill>
                <a:srgbClr val="000000"/>
              </a:solidFill>
              <a:latin typeface="Arial"/>
            </a:defRPr>
          </a:pPr>
          <a:endParaRPr lang="en-US"/>
        </a:p>
      </c:txPr>
    </c:legend>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10</xdr:col>
      <xdr:colOff>202680</xdr:colOff>
      <xdr:row>29</xdr:row>
      <xdr:rowOff>94320</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14</xdr:row>
      <xdr:rowOff>0</xdr:rowOff>
    </xdr:from>
    <xdr:to>
      <xdr:col>20</xdr:col>
      <xdr:colOff>202680</xdr:colOff>
      <xdr:row>29</xdr:row>
      <xdr:rowOff>94320</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32</xdr:row>
      <xdr:rowOff>0</xdr:rowOff>
    </xdr:from>
    <xdr:to>
      <xdr:col>10</xdr:col>
      <xdr:colOff>202680</xdr:colOff>
      <xdr:row>46</xdr:row>
      <xdr:rowOff>68760</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11</xdr:col>
      <xdr:colOff>0</xdr:colOff>
      <xdr:row>32</xdr:row>
      <xdr:rowOff>0</xdr:rowOff>
    </xdr:from>
    <xdr:to>
      <xdr:col>20</xdr:col>
      <xdr:colOff>202680</xdr:colOff>
      <xdr:row>46</xdr:row>
      <xdr:rowOff>68760</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2"/>
  <sheetViews>
    <sheetView showGridLines="0" tabSelected="1" zoomScaleNormal="100" workbookViewId="0">
      <selection activeCell="C39" sqref="C39"/>
    </sheetView>
  </sheetViews>
  <sheetFormatPr defaultColWidth="8.6328125" defaultRowHeight="14.5" x14ac:dyDescent="0.35"/>
  <cols>
    <col min="1" max="1" width="2.453125" customWidth="1"/>
    <col min="2" max="2" width="33" customWidth="1"/>
    <col min="3" max="3" width="74" customWidth="1"/>
    <col min="4" max="4" width="2.453125" customWidth="1"/>
  </cols>
  <sheetData>
    <row r="1" spans="1:4" ht="13.5" customHeight="1" x14ac:dyDescent="0.35">
      <c r="A1" s="14" t="s">
        <v>0</v>
      </c>
      <c r="B1" s="14"/>
      <c r="C1" s="14"/>
      <c r="D1" s="14"/>
    </row>
    <row r="2" spans="1:4" ht="25.5" customHeight="1" x14ac:dyDescent="0.35">
      <c r="A2" s="13" t="s">
        <v>1</v>
      </c>
      <c r="B2" s="13"/>
      <c r="C2" s="13"/>
      <c r="D2" s="13"/>
    </row>
    <row r="3" spans="1:4" ht="15.75" customHeight="1" x14ac:dyDescent="0.35">
      <c r="A3" s="12" t="s">
        <v>2</v>
      </c>
      <c r="B3" s="12"/>
      <c r="C3" s="12"/>
      <c r="D3" s="12"/>
    </row>
    <row r="4" spans="1:4" ht="7.5" customHeight="1" x14ac:dyDescent="0.35"/>
    <row r="6" spans="1:4" ht="19.5" customHeight="1" x14ac:dyDescent="0.35">
      <c r="B6" s="11" t="s">
        <v>3</v>
      </c>
      <c r="C6" s="11"/>
    </row>
    <row r="7" spans="1:4" ht="6" customHeight="1" x14ac:dyDescent="0.35"/>
    <row r="8" spans="1:4" ht="45.75" customHeight="1" x14ac:dyDescent="0.35">
      <c r="B8" s="10" t="s">
        <v>4</v>
      </c>
      <c r="C8" s="10"/>
    </row>
    <row r="9" spans="1:4" ht="6" customHeight="1" x14ac:dyDescent="0.35"/>
    <row r="10" spans="1:4" ht="15" customHeight="1" x14ac:dyDescent="0.35">
      <c r="B10" s="9" t="s">
        <v>5</v>
      </c>
      <c r="C10" s="9"/>
    </row>
    <row r="11" spans="1:4" ht="15" customHeight="1" x14ac:dyDescent="0.35">
      <c r="B11" s="9" t="s">
        <v>6</v>
      </c>
      <c r="C11" s="9"/>
    </row>
    <row r="12" spans="1:4" ht="15" customHeight="1" x14ac:dyDescent="0.35">
      <c r="B12" s="9" t="s">
        <v>7</v>
      </c>
      <c r="C12" s="9"/>
    </row>
    <row r="13" spans="1:4" ht="15" customHeight="1" x14ac:dyDescent="0.35">
      <c r="B13" s="9" t="s">
        <v>8</v>
      </c>
      <c r="C13" s="9"/>
    </row>
    <row r="14" spans="1:4" ht="15" customHeight="1" x14ac:dyDescent="0.35">
      <c r="B14" s="9" t="s">
        <v>9</v>
      </c>
      <c r="C14" s="9"/>
    </row>
    <row r="15" spans="1:4" ht="15" customHeight="1" x14ac:dyDescent="0.35">
      <c r="B15" s="9" t="s">
        <v>10</v>
      </c>
      <c r="C15" s="9"/>
    </row>
    <row r="16" spans="1:4" ht="15" customHeight="1" x14ac:dyDescent="0.35">
      <c r="B16" s="9" t="s">
        <v>11</v>
      </c>
      <c r="C16" s="9"/>
    </row>
    <row r="17" spans="2:3" ht="15" customHeight="1" x14ac:dyDescent="0.35">
      <c r="B17" s="9" t="s">
        <v>12</v>
      </c>
      <c r="C17" s="9"/>
    </row>
    <row r="19" spans="2:3" ht="19.5" customHeight="1" x14ac:dyDescent="0.35">
      <c r="B19" s="11" t="s">
        <v>13</v>
      </c>
      <c r="C19" s="11"/>
    </row>
    <row r="20" spans="2:3" ht="6" customHeight="1" x14ac:dyDescent="0.35"/>
    <row r="21" spans="2:3" ht="15.75" customHeight="1" x14ac:dyDescent="0.35">
      <c r="B21" s="9" t="s">
        <v>14</v>
      </c>
      <c r="C21" s="9"/>
    </row>
    <row r="22" spans="2:3" ht="15.75" customHeight="1" x14ac:dyDescent="0.35">
      <c r="B22" s="9" t="s">
        <v>15</v>
      </c>
      <c r="C22" s="9"/>
    </row>
    <row r="23" spans="2:3" ht="15.75" customHeight="1" x14ac:dyDescent="0.35">
      <c r="B23" s="9" t="s">
        <v>16</v>
      </c>
      <c r="C23" s="9"/>
    </row>
    <row r="24" spans="2:3" ht="15.75" customHeight="1" x14ac:dyDescent="0.35">
      <c r="B24" s="9" t="s">
        <v>17</v>
      </c>
      <c r="C24" s="9"/>
    </row>
    <row r="25" spans="2:3" ht="15.75" customHeight="1" x14ac:dyDescent="0.35">
      <c r="B25" s="9" t="s">
        <v>18</v>
      </c>
      <c r="C25" s="9"/>
    </row>
    <row r="27" spans="2:3" ht="31.5" customHeight="1" x14ac:dyDescent="0.35">
      <c r="B27" s="8" t="s">
        <v>19</v>
      </c>
      <c r="C27" s="8"/>
    </row>
    <row r="28" spans="2:3" ht="3.75" customHeight="1" x14ac:dyDescent="0.35"/>
    <row r="29" spans="2:3" ht="31.5" customHeight="1" x14ac:dyDescent="0.35">
      <c r="B29" s="8" t="s">
        <v>20</v>
      </c>
      <c r="C29" s="8"/>
    </row>
    <row r="30" spans="2:3" ht="3.75" customHeight="1" x14ac:dyDescent="0.35"/>
    <row r="31" spans="2:3" ht="25.5" customHeight="1" x14ac:dyDescent="0.35">
      <c r="B31" s="8" t="s">
        <v>21</v>
      </c>
      <c r="C31" s="8"/>
    </row>
    <row r="33" spans="2:3" ht="19.5" customHeight="1" x14ac:dyDescent="0.35">
      <c r="B33" s="11" t="s">
        <v>22</v>
      </c>
      <c r="C33" s="11"/>
    </row>
    <row r="34" spans="2:3" ht="6" customHeight="1" x14ac:dyDescent="0.35"/>
    <row r="35" spans="2:3" ht="15" customHeight="1" x14ac:dyDescent="0.35">
      <c r="B35" s="15" t="s">
        <v>23</v>
      </c>
      <c r="C35" s="16" t="s">
        <v>24</v>
      </c>
    </row>
    <row r="36" spans="2:3" ht="25.5" customHeight="1" x14ac:dyDescent="0.35">
      <c r="B36" s="15" t="s">
        <v>25</v>
      </c>
      <c r="C36" s="16" t="s">
        <v>26</v>
      </c>
    </row>
    <row r="37" spans="2:3" ht="25.5" customHeight="1" x14ac:dyDescent="0.35">
      <c r="B37" s="15" t="s">
        <v>27</v>
      </c>
      <c r="C37" s="16" t="s">
        <v>28</v>
      </c>
    </row>
    <row r="38" spans="2:3" ht="25.5" customHeight="1" x14ac:dyDescent="0.35">
      <c r="B38" s="15" t="s">
        <v>29</v>
      </c>
      <c r="C38" s="16" t="s">
        <v>30</v>
      </c>
    </row>
    <row r="39" spans="2:3" ht="25.5" customHeight="1" x14ac:dyDescent="0.35">
      <c r="B39" s="15" t="s">
        <v>31</v>
      </c>
      <c r="C39" s="16" t="s">
        <v>32</v>
      </c>
    </row>
    <row r="40" spans="2:3" ht="15" customHeight="1" x14ac:dyDescent="0.35">
      <c r="B40" s="15" t="s">
        <v>33</v>
      </c>
      <c r="C40" s="16" t="s">
        <v>34</v>
      </c>
    </row>
    <row r="41" spans="2:3" ht="15" customHeight="1" x14ac:dyDescent="0.35">
      <c r="B41" s="15" t="s">
        <v>35</v>
      </c>
      <c r="C41" s="16" t="s">
        <v>36</v>
      </c>
    </row>
    <row r="42" spans="2:3" ht="15" customHeight="1" x14ac:dyDescent="0.35">
      <c r="B42" s="15" t="s">
        <v>37</v>
      </c>
      <c r="C42" s="16" t="s">
        <v>38</v>
      </c>
    </row>
    <row r="44" spans="2:3" ht="19.5" customHeight="1" x14ac:dyDescent="0.35">
      <c r="B44" s="11" t="s">
        <v>39</v>
      </c>
      <c r="C44" s="11"/>
    </row>
    <row r="45" spans="2:3" ht="16.5" customHeight="1" x14ac:dyDescent="0.35">
      <c r="B45" s="17" t="s">
        <v>40</v>
      </c>
      <c r="C45" s="17" t="s">
        <v>41</v>
      </c>
    </row>
    <row r="46" spans="2:3" ht="16.5" customHeight="1" x14ac:dyDescent="0.35">
      <c r="B46" s="18" t="s">
        <v>42</v>
      </c>
      <c r="C46" s="19" t="s">
        <v>43</v>
      </c>
    </row>
    <row r="47" spans="2:3" ht="16.5" customHeight="1" x14ac:dyDescent="0.35">
      <c r="B47" s="20" t="s">
        <v>44</v>
      </c>
      <c r="C47" s="21" t="s">
        <v>45</v>
      </c>
    </row>
    <row r="48" spans="2:3" ht="28.5" customHeight="1" x14ac:dyDescent="0.35">
      <c r="B48" s="18" t="s">
        <v>46</v>
      </c>
      <c r="C48" s="19" t="s">
        <v>47</v>
      </c>
    </row>
    <row r="49" spans="1:4" ht="28.5" customHeight="1" x14ac:dyDescent="0.35">
      <c r="B49" s="20" t="s">
        <v>48</v>
      </c>
      <c r="C49" s="21" t="s">
        <v>49</v>
      </c>
    </row>
    <row r="50" spans="1:4" ht="28.5" customHeight="1" x14ac:dyDescent="0.35">
      <c r="B50" s="18" t="s">
        <v>50</v>
      </c>
      <c r="C50" s="19" t="s">
        <v>51</v>
      </c>
    </row>
    <row r="51" spans="1:4" ht="28.5" customHeight="1" x14ac:dyDescent="0.35">
      <c r="B51" s="20" t="s">
        <v>52</v>
      </c>
      <c r="C51" s="21" t="s">
        <v>53</v>
      </c>
    </row>
    <row r="52" spans="1:4" ht="28.5" customHeight="1" x14ac:dyDescent="0.35">
      <c r="B52" s="18" t="s">
        <v>54</v>
      </c>
      <c r="C52" s="19" t="s">
        <v>55</v>
      </c>
    </row>
    <row r="53" spans="1:4" ht="28.5" customHeight="1" x14ac:dyDescent="0.35">
      <c r="B53" s="20" t="s">
        <v>56</v>
      </c>
      <c r="C53" s="21" t="s">
        <v>57</v>
      </c>
    </row>
    <row r="54" spans="1:4" ht="28.5" customHeight="1" x14ac:dyDescent="0.35">
      <c r="B54" s="18" t="s">
        <v>58</v>
      </c>
      <c r="C54" s="19" t="s">
        <v>59</v>
      </c>
    </row>
    <row r="55" spans="1:4" ht="16.5" customHeight="1" x14ac:dyDescent="0.35">
      <c r="B55" s="20" t="s">
        <v>60</v>
      </c>
      <c r="C55" s="21" t="s">
        <v>61</v>
      </c>
    </row>
    <row r="58" spans="1:4" ht="57.75" customHeight="1" x14ac:dyDescent="0.35">
      <c r="B58" s="7" t="s">
        <v>62</v>
      </c>
      <c r="C58" s="7"/>
    </row>
    <row r="60" spans="1:4" ht="18" customHeight="1" x14ac:dyDescent="0.35">
      <c r="A60" s="6" t="s">
        <v>63</v>
      </c>
      <c r="B60" s="6"/>
      <c r="C60" s="6"/>
      <c r="D60" s="6"/>
    </row>
    <row r="61" spans="1:4" ht="18" customHeight="1" x14ac:dyDescent="0.35">
      <c r="A61" s="5" t="s">
        <v>64</v>
      </c>
      <c r="B61" s="5"/>
      <c r="C61" s="5"/>
      <c r="D61" s="5"/>
    </row>
    <row r="62" spans="1:4" ht="18" customHeight="1" x14ac:dyDescent="0.35">
      <c r="A62" s="4" t="s">
        <v>65</v>
      </c>
      <c r="B62" s="4"/>
      <c r="C62" s="4"/>
      <c r="D62" s="4"/>
    </row>
  </sheetData>
  <sheetProtection sheet="1" formatCells="0" formatColumns="0" formatRows="0"/>
  <mergeCells count="28">
    <mergeCell ref="A60:D60"/>
    <mergeCell ref="A61:D61"/>
    <mergeCell ref="A62:D62"/>
    <mergeCell ref="B29:C29"/>
    <mergeCell ref="B31:C31"/>
    <mergeCell ref="B33:C33"/>
    <mergeCell ref="B44:C44"/>
    <mergeCell ref="B58:C58"/>
    <mergeCell ref="B22:C22"/>
    <mergeCell ref="B23:C23"/>
    <mergeCell ref="B24:C24"/>
    <mergeCell ref="B25:C25"/>
    <mergeCell ref="B27:C27"/>
    <mergeCell ref="B15:C15"/>
    <mergeCell ref="B16:C16"/>
    <mergeCell ref="B17:C17"/>
    <mergeCell ref="B19:C19"/>
    <mergeCell ref="B21:C21"/>
    <mergeCell ref="B10:C10"/>
    <mergeCell ref="B11:C11"/>
    <mergeCell ref="B12:C12"/>
    <mergeCell ref="B13:C13"/>
    <mergeCell ref="B14:C14"/>
    <mergeCell ref="A1:D1"/>
    <mergeCell ref="A2:D2"/>
    <mergeCell ref="A3:D3"/>
    <mergeCell ref="B6:C6"/>
    <mergeCell ref="B8:C8"/>
  </mergeCells>
  <pageMargins left="0.3" right="0.3" top="0.35" bottom="0.35"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11"/>
  <sheetViews>
    <sheetView showGridLines="0" zoomScaleNormal="100" workbookViewId="0">
      <selection activeCell="D21" sqref="D21"/>
    </sheetView>
  </sheetViews>
  <sheetFormatPr defaultColWidth="8.6328125" defaultRowHeight="14.5" x14ac:dyDescent="0.35"/>
  <cols>
    <col min="1" max="1" width="2.453125" customWidth="1"/>
    <col min="2" max="2" width="38" customWidth="1"/>
    <col min="3" max="14" width="11.6328125" customWidth="1"/>
    <col min="15" max="15" width="2.453125" customWidth="1"/>
  </cols>
  <sheetData>
    <row r="1" spans="1:14" ht="13.5" customHeight="1" x14ac:dyDescent="0.35">
      <c r="A1" s="14" t="s">
        <v>0</v>
      </c>
      <c r="B1" s="14"/>
      <c r="C1" s="14"/>
      <c r="D1" s="14"/>
      <c r="E1" s="14"/>
      <c r="F1" s="14"/>
      <c r="G1" s="14"/>
      <c r="H1" s="14"/>
      <c r="I1" s="14"/>
      <c r="J1" s="14"/>
      <c r="K1" s="14"/>
      <c r="L1" s="14"/>
      <c r="M1" s="14"/>
      <c r="N1" s="14"/>
    </row>
    <row r="2" spans="1:14" ht="25.5" customHeight="1" x14ac:dyDescent="0.35">
      <c r="A2" s="13" t="s">
        <v>66</v>
      </c>
      <c r="B2" s="13"/>
      <c r="C2" s="13"/>
      <c r="D2" s="13"/>
      <c r="E2" s="13"/>
      <c r="F2" s="13"/>
      <c r="G2" s="3" t="s">
        <v>67</v>
      </c>
      <c r="H2" s="3"/>
      <c r="I2" s="3"/>
      <c r="J2" s="3"/>
      <c r="K2" s="3"/>
      <c r="L2" s="3"/>
      <c r="M2" s="3"/>
      <c r="N2" s="3"/>
    </row>
    <row r="3" spans="1:14" ht="15.75" customHeight="1" x14ac:dyDescent="0.35">
      <c r="A3" s="12" t="s">
        <v>68</v>
      </c>
      <c r="B3" s="12"/>
      <c r="C3" s="12"/>
      <c r="D3" s="12"/>
      <c r="E3" s="12"/>
      <c r="F3" s="12"/>
      <c r="G3" s="12"/>
      <c r="H3" s="12"/>
      <c r="I3" s="12"/>
      <c r="J3" s="12"/>
      <c r="K3" s="12"/>
      <c r="L3" s="12"/>
      <c r="M3" s="12"/>
      <c r="N3" s="12"/>
    </row>
    <row r="4" spans="1:14" ht="7.5" customHeight="1" x14ac:dyDescent="0.35"/>
    <row r="5" spans="1:14" ht="21.75" customHeight="1" x14ac:dyDescent="0.35">
      <c r="B5" s="2" t="s">
        <v>69</v>
      </c>
      <c r="C5" s="2"/>
      <c r="D5" s="2"/>
      <c r="E5" s="2"/>
      <c r="F5" s="2"/>
      <c r="G5" s="2"/>
      <c r="H5" s="2"/>
      <c r="I5" s="2"/>
      <c r="J5" s="2"/>
      <c r="K5" s="2"/>
      <c r="L5" s="2"/>
      <c r="M5" s="2"/>
      <c r="N5" s="2"/>
    </row>
    <row r="6" spans="1:14" ht="7.5" customHeight="1" x14ac:dyDescent="0.35"/>
    <row r="7" spans="1:14" ht="18.75" customHeight="1" x14ac:dyDescent="0.35">
      <c r="B7" s="1" t="s">
        <v>70</v>
      </c>
      <c r="C7" s="1"/>
      <c r="D7" s="1"/>
      <c r="E7" s="1"/>
      <c r="F7" s="1"/>
      <c r="G7" s="1"/>
      <c r="H7" s="1"/>
      <c r="I7" s="1"/>
      <c r="J7" s="1"/>
      <c r="K7" s="1"/>
      <c r="L7" s="1"/>
      <c r="M7" s="1"/>
      <c r="N7" s="1"/>
    </row>
    <row r="8" spans="1:14" ht="19.5" customHeight="1" x14ac:dyDescent="0.35">
      <c r="B8" s="22" t="s">
        <v>71</v>
      </c>
      <c r="C8" s="98" t="s">
        <v>72</v>
      </c>
      <c r="D8" s="98"/>
      <c r="E8" s="98"/>
      <c r="F8" s="98"/>
    </row>
    <row r="9" spans="1:14" ht="19.5" customHeight="1" x14ac:dyDescent="0.35">
      <c r="B9" s="22" t="s">
        <v>73</v>
      </c>
      <c r="C9" s="98" t="s">
        <v>74</v>
      </c>
      <c r="D9" s="98"/>
      <c r="E9" s="98"/>
      <c r="F9" s="98"/>
    </row>
    <row r="10" spans="1:14" ht="21.75" customHeight="1" x14ac:dyDescent="0.35">
      <c r="B10" s="23" t="s">
        <v>75</v>
      </c>
      <c r="C10" s="24">
        <v>12</v>
      </c>
      <c r="D10" s="8" t="str">
        <f>IF(NOT(ISNUMBER($C$10)),"Select a reporting month from 1 to 12 in the shaded cell to the left.",IF(OR($C$10&lt;1,$C$10&gt;12,$C$10&lt;&gt;INT($C$10)),"The reporting month must be a whole number from 1 to 12.","Reporting month:  "&amp;IF(INDEX($C$13:$N$13,$C$10)="","(month "&amp;TEXT($C$10,"0")&amp;" — no label entered)",INDEX($C$13:$N$13,$C$10))&amp;IF(INDEX($C$97:$N$97,$C$10)=1,"      Marked complete.","      PROVISIONAL — this month is not marked complete, so nothing below is a final assessment.")&amp;"      Profitability inputs: "&amp;IF(INDEX($C$95:$N$95,$C$10)=1,"complete.","incomplete.")&amp;IF($C$10&lt;=1,"      First month in the cycle — there is no prior-month comparison.",IF($C$111=1,"      The prior month is not marked complete, so month-over-month comparisons are provisional.",""))))</f>
        <v>Reporting month:  Dec 2025      Marked complete.      Profitability inputs: complete.</v>
      </c>
      <c r="E10" s="8"/>
      <c r="F10" s="8"/>
      <c r="G10" s="8"/>
      <c r="H10" s="8"/>
      <c r="I10" s="8"/>
      <c r="J10" s="8"/>
      <c r="K10" s="8"/>
      <c r="L10" s="8"/>
      <c r="M10" s="8"/>
      <c r="N10" s="8"/>
    </row>
    <row r="11" spans="1:14" ht="7.5" customHeight="1" x14ac:dyDescent="0.35"/>
    <row r="12" spans="1:14" ht="18.75" customHeight="1" x14ac:dyDescent="0.35">
      <c r="B12" s="1" t="s">
        <v>76</v>
      </c>
      <c r="C12" s="1"/>
      <c r="D12" s="1"/>
      <c r="E12" s="1"/>
      <c r="F12" s="1"/>
      <c r="G12" s="1"/>
      <c r="H12" s="1"/>
      <c r="I12" s="1"/>
      <c r="J12" s="1"/>
      <c r="K12" s="1"/>
      <c r="L12" s="1"/>
      <c r="M12" s="1"/>
      <c r="N12" s="1"/>
    </row>
    <row r="13" spans="1:14" ht="16.5" customHeight="1" x14ac:dyDescent="0.35">
      <c r="B13" s="22" t="s">
        <v>77</v>
      </c>
      <c r="C13" s="25" t="s">
        <v>78</v>
      </c>
      <c r="D13" s="25" t="s">
        <v>79</v>
      </c>
      <c r="E13" s="25" t="s">
        <v>80</v>
      </c>
      <c r="F13" s="25" t="s">
        <v>81</v>
      </c>
      <c r="G13" s="25" t="s">
        <v>82</v>
      </c>
      <c r="H13" s="25" t="s">
        <v>83</v>
      </c>
      <c r="I13" s="25" t="s">
        <v>84</v>
      </c>
      <c r="J13" s="25" t="s">
        <v>85</v>
      </c>
      <c r="K13" s="25" t="s">
        <v>86</v>
      </c>
      <c r="L13" s="25" t="s">
        <v>87</v>
      </c>
      <c r="M13" s="25" t="s">
        <v>88</v>
      </c>
      <c r="N13" s="25" t="s">
        <v>89</v>
      </c>
    </row>
    <row r="14" spans="1:14" ht="16.5" customHeight="1" x14ac:dyDescent="0.35">
      <c r="B14" s="22" t="s">
        <v>90</v>
      </c>
      <c r="C14" s="25" t="s">
        <v>91</v>
      </c>
      <c r="D14" s="25" t="s">
        <v>91</v>
      </c>
      <c r="E14" s="25" t="s">
        <v>91</v>
      </c>
      <c r="F14" s="25" t="s">
        <v>91</v>
      </c>
      <c r="G14" s="25" t="s">
        <v>91</v>
      </c>
      <c r="H14" s="25" t="s">
        <v>91</v>
      </c>
      <c r="I14" s="25" t="s">
        <v>91</v>
      </c>
      <c r="J14" s="25" t="s">
        <v>91</v>
      </c>
      <c r="K14" s="25" t="s">
        <v>91</v>
      </c>
      <c r="L14" s="25" t="s">
        <v>91</v>
      </c>
      <c r="M14" s="25" t="s">
        <v>91</v>
      </c>
      <c r="N14" s="25" t="s">
        <v>91</v>
      </c>
    </row>
    <row r="15" spans="1:14" ht="15.75" customHeight="1" x14ac:dyDescent="0.35">
      <c r="B15" s="99" t="s">
        <v>92</v>
      </c>
      <c r="C15" s="99"/>
      <c r="D15" s="99"/>
      <c r="E15" s="99"/>
      <c r="F15" s="99"/>
      <c r="G15" s="99"/>
      <c r="H15" s="99"/>
      <c r="I15" s="99"/>
      <c r="J15" s="99"/>
      <c r="K15" s="99"/>
      <c r="L15" s="99"/>
      <c r="M15" s="99"/>
      <c r="N15" s="99"/>
    </row>
    <row r="16" spans="1:14" ht="7.5" customHeight="1" x14ac:dyDescent="0.35"/>
    <row r="17" spans="2:14" ht="18.75" customHeight="1" x14ac:dyDescent="0.35">
      <c r="B17" s="1" t="s">
        <v>93</v>
      </c>
      <c r="C17" s="1"/>
      <c r="D17" s="1"/>
      <c r="E17" s="1"/>
      <c r="F17" s="1"/>
      <c r="G17" s="1"/>
      <c r="H17" s="1"/>
      <c r="I17" s="1"/>
      <c r="J17" s="1"/>
      <c r="K17" s="1"/>
      <c r="L17" s="1"/>
      <c r="M17" s="1"/>
      <c r="N17" s="1"/>
    </row>
    <row r="18" spans="2:14" ht="15.75" customHeight="1" x14ac:dyDescent="0.35">
      <c r="B18" s="26" t="s">
        <v>94</v>
      </c>
      <c r="C18" s="27" t="str">
        <f t="shared" ref="C18:N18" si="0">C13</f>
        <v>Jan 2025</v>
      </c>
      <c r="D18" s="27" t="str">
        <f t="shared" si="0"/>
        <v>Feb 2025</v>
      </c>
      <c r="E18" s="27" t="str">
        <f t="shared" si="0"/>
        <v>Mar 2025</v>
      </c>
      <c r="F18" s="27" t="str">
        <f t="shared" si="0"/>
        <v>Apr 2025</v>
      </c>
      <c r="G18" s="27" t="str">
        <f t="shared" si="0"/>
        <v>May 2025</v>
      </c>
      <c r="H18" s="27" t="str">
        <f t="shared" si="0"/>
        <v>Jun 2025</v>
      </c>
      <c r="I18" s="27" t="str">
        <f t="shared" si="0"/>
        <v>Jul 2025</v>
      </c>
      <c r="J18" s="27" t="str">
        <f t="shared" si="0"/>
        <v>Aug 2025</v>
      </c>
      <c r="K18" s="27" t="str">
        <f t="shared" si="0"/>
        <v>Sep 2025</v>
      </c>
      <c r="L18" s="27" t="str">
        <f t="shared" si="0"/>
        <v>Oct 2025</v>
      </c>
      <c r="M18" s="27" t="str">
        <f t="shared" si="0"/>
        <v>Nov 2025</v>
      </c>
      <c r="N18" s="27" t="str">
        <f t="shared" si="0"/>
        <v>Dec 2025</v>
      </c>
    </row>
    <row r="19" spans="2:14" ht="16.5" customHeight="1" x14ac:dyDescent="0.35">
      <c r="B19" s="22" t="s">
        <v>95</v>
      </c>
      <c r="C19" s="28">
        <v>380000</v>
      </c>
      <c r="D19" s="28">
        <v>355000</v>
      </c>
      <c r="E19" s="28">
        <v>430000</v>
      </c>
      <c r="F19" s="28">
        <v>505000</v>
      </c>
      <c r="G19" s="28">
        <v>585000</v>
      </c>
      <c r="H19" s="28">
        <v>640000</v>
      </c>
      <c r="I19" s="28">
        <v>690000</v>
      </c>
      <c r="J19" s="28">
        <v>665000</v>
      </c>
      <c r="K19" s="28">
        <v>610000</v>
      </c>
      <c r="L19" s="28">
        <v>560000</v>
      </c>
      <c r="M19" s="28">
        <v>495000</v>
      </c>
      <c r="N19" s="28">
        <v>445000</v>
      </c>
    </row>
    <row r="20" spans="2:14" ht="16.5" customHeight="1" x14ac:dyDescent="0.35">
      <c r="B20" s="22" t="s">
        <v>96</v>
      </c>
      <c r="C20" s="28">
        <v>62000</v>
      </c>
      <c r="D20" s="28">
        <v>58000</v>
      </c>
      <c r="E20" s="28">
        <v>66000</v>
      </c>
      <c r="F20" s="28">
        <v>71000</v>
      </c>
      <c r="G20" s="28">
        <v>78000</v>
      </c>
      <c r="H20" s="28">
        <v>82000</v>
      </c>
      <c r="I20" s="28">
        <v>85000</v>
      </c>
      <c r="J20" s="28">
        <v>84000</v>
      </c>
      <c r="K20" s="28">
        <v>80000</v>
      </c>
      <c r="L20" s="28">
        <v>76000</v>
      </c>
      <c r="M20" s="28">
        <v>70000</v>
      </c>
      <c r="N20" s="28">
        <v>68000</v>
      </c>
    </row>
    <row r="21" spans="2:14" ht="16.5" customHeight="1" x14ac:dyDescent="0.35">
      <c r="B21" s="22" t="s">
        <v>97</v>
      </c>
      <c r="C21" s="28">
        <v>4500</v>
      </c>
      <c r="D21" s="28">
        <v>3800</v>
      </c>
      <c r="E21" s="28">
        <v>5200</v>
      </c>
      <c r="F21" s="28">
        <v>6100</v>
      </c>
      <c r="G21" s="28">
        <v>7400</v>
      </c>
      <c r="H21" s="28">
        <v>8200</v>
      </c>
      <c r="I21" s="28">
        <v>8800</v>
      </c>
      <c r="J21" s="28">
        <v>8100</v>
      </c>
      <c r="K21" s="28">
        <v>7600</v>
      </c>
      <c r="L21" s="28">
        <v>6900</v>
      </c>
      <c r="M21" s="28">
        <v>5800</v>
      </c>
      <c r="N21" s="28">
        <v>5100</v>
      </c>
    </row>
    <row r="22" spans="2:14" ht="16.5" customHeight="1" x14ac:dyDescent="0.35">
      <c r="B22" s="29" t="s">
        <v>98</v>
      </c>
      <c r="C22" s="30">
        <f t="shared" ref="C22:N22" si="1">IF(COUNT(C19:C21)=3,SUM(C19:C21),"")</f>
        <v>446500</v>
      </c>
      <c r="D22" s="30">
        <f t="shared" si="1"/>
        <v>416800</v>
      </c>
      <c r="E22" s="30">
        <f t="shared" si="1"/>
        <v>501200</v>
      </c>
      <c r="F22" s="30">
        <f t="shared" si="1"/>
        <v>582100</v>
      </c>
      <c r="G22" s="30">
        <f t="shared" si="1"/>
        <v>670400</v>
      </c>
      <c r="H22" s="30">
        <f t="shared" si="1"/>
        <v>730200</v>
      </c>
      <c r="I22" s="30">
        <f t="shared" si="1"/>
        <v>783800</v>
      </c>
      <c r="J22" s="30">
        <f t="shared" si="1"/>
        <v>757100</v>
      </c>
      <c r="K22" s="30">
        <f t="shared" si="1"/>
        <v>697600</v>
      </c>
      <c r="L22" s="30">
        <f t="shared" si="1"/>
        <v>642900</v>
      </c>
      <c r="M22" s="30">
        <f t="shared" si="1"/>
        <v>570800</v>
      </c>
      <c r="N22" s="31">
        <f t="shared" si="1"/>
        <v>518100</v>
      </c>
    </row>
    <row r="23" spans="2:14" ht="7.5" customHeight="1" x14ac:dyDescent="0.35"/>
    <row r="24" spans="2:14" ht="18.75" customHeight="1" x14ac:dyDescent="0.35">
      <c r="B24" s="1" t="s">
        <v>99</v>
      </c>
      <c r="C24" s="1"/>
      <c r="D24" s="1"/>
      <c r="E24" s="1"/>
      <c r="F24" s="1"/>
      <c r="G24" s="1"/>
      <c r="H24" s="1"/>
      <c r="I24" s="1"/>
      <c r="J24" s="1"/>
      <c r="K24" s="1"/>
      <c r="L24" s="1"/>
      <c r="M24" s="1"/>
      <c r="N24" s="1"/>
    </row>
    <row r="25" spans="2:14" ht="15.75" customHeight="1" x14ac:dyDescent="0.35">
      <c r="B25" s="26" t="s">
        <v>94</v>
      </c>
      <c r="C25" s="27" t="str">
        <f t="shared" ref="C25:N25" si="2">C13</f>
        <v>Jan 2025</v>
      </c>
      <c r="D25" s="27" t="str">
        <f t="shared" si="2"/>
        <v>Feb 2025</v>
      </c>
      <c r="E25" s="27" t="str">
        <f t="shared" si="2"/>
        <v>Mar 2025</v>
      </c>
      <c r="F25" s="27" t="str">
        <f t="shared" si="2"/>
        <v>Apr 2025</v>
      </c>
      <c r="G25" s="27" t="str">
        <f t="shared" si="2"/>
        <v>May 2025</v>
      </c>
      <c r="H25" s="27" t="str">
        <f t="shared" si="2"/>
        <v>Jun 2025</v>
      </c>
      <c r="I25" s="27" t="str">
        <f t="shared" si="2"/>
        <v>Jul 2025</v>
      </c>
      <c r="J25" s="27" t="str">
        <f t="shared" si="2"/>
        <v>Aug 2025</v>
      </c>
      <c r="K25" s="27" t="str">
        <f t="shared" si="2"/>
        <v>Sep 2025</v>
      </c>
      <c r="L25" s="27" t="str">
        <f t="shared" si="2"/>
        <v>Oct 2025</v>
      </c>
      <c r="M25" s="27" t="str">
        <f t="shared" si="2"/>
        <v>Nov 2025</v>
      </c>
      <c r="N25" s="27" t="str">
        <f t="shared" si="2"/>
        <v>Dec 2025</v>
      </c>
    </row>
    <row r="26" spans="2:14" ht="16.5" customHeight="1" x14ac:dyDescent="0.35">
      <c r="B26" s="22" t="s">
        <v>100</v>
      </c>
      <c r="C26" s="28">
        <v>102700</v>
      </c>
      <c r="D26" s="28">
        <v>97300</v>
      </c>
      <c r="E26" s="28">
        <v>115300</v>
      </c>
      <c r="F26" s="28">
        <v>132900</v>
      </c>
      <c r="G26" s="28">
        <v>152000</v>
      </c>
      <c r="H26" s="28">
        <v>164700</v>
      </c>
      <c r="I26" s="28">
        <v>176300</v>
      </c>
      <c r="J26" s="28">
        <v>171500</v>
      </c>
      <c r="K26" s="28">
        <v>159400</v>
      </c>
      <c r="L26" s="28">
        <v>147400</v>
      </c>
      <c r="M26" s="28">
        <v>131600</v>
      </c>
      <c r="N26" s="28">
        <v>119700</v>
      </c>
    </row>
    <row r="27" spans="2:14" ht="16.5" customHeight="1" x14ac:dyDescent="0.35">
      <c r="B27" s="22" t="s">
        <v>101</v>
      </c>
      <c r="C27" s="28">
        <v>116600</v>
      </c>
      <c r="D27" s="28">
        <v>108800</v>
      </c>
      <c r="E27" s="28">
        <v>134900</v>
      </c>
      <c r="F27" s="28">
        <v>162300</v>
      </c>
      <c r="G27" s="28">
        <v>193800</v>
      </c>
      <c r="H27" s="28">
        <v>219700</v>
      </c>
      <c r="I27" s="28">
        <v>243200</v>
      </c>
      <c r="J27" s="28">
        <v>226100</v>
      </c>
      <c r="K27" s="28">
        <v>200000</v>
      </c>
      <c r="L27" s="28">
        <v>177800</v>
      </c>
      <c r="M27" s="28">
        <v>152200</v>
      </c>
      <c r="N27" s="28">
        <v>135100</v>
      </c>
    </row>
    <row r="28" spans="2:14" ht="16.5" customHeight="1" x14ac:dyDescent="0.35">
      <c r="B28" s="22" t="s">
        <v>102</v>
      </c>
      <c r="C28" s="28">
        <v>89800</v>
      </c>
      <c r="D28" s="28">
        <v>84800</v>
      </c>
      <c r="E28" s="28">
        <v>101700</v>
      </c>
      <c r="F28" s="28">
        <v>119100</v>
      </c>
      <c r="G28" s="28">
        <v>138400</v>
      </c>
      <c r="H28" s="28">
        <v>152500</v>
      </c>
      <c r="I28" s="28">
        <v>164900</v>
      </c>
      <c r="J28" s="28">
        <v>158300</v>
      </c>
      <c r="K28" s="28">
        <v>144700</v>
      </c>
      <c r="L28" s="28">
        <v>132100</v>
      </c>
      <c r="M28" s="28">
        <v>116200</v>
      </c>
      <c r="N28" s="28">
        <v>104700</v>
      </c>
    </row>
    <row r="29" spans="2:14" ht="16.5" customHeight="1" x14ac:dyDescent="0.35">
      <c r="B29" s="22" t="s">
        <v>103</v>
      </c>
      <c r="C29" s="28">
        <v>12600</v>
      </c>
      <c r="D29" s="28">
        <v>11500</v>
      </c>
      <c r="E29" s="28">
        <v>15100</v>
      </c>
      <c r="F29" s="28">
        <v>18700</v>
      </c>
      <c r="G29" s="28">
        <v>22500</v>
      </c>
      <c r="H29" s="28">
        <v>25500</v>
      </c>
      <c r="I29" s="28">
        <v>28400</v>
      </c>
      <c r="J29" s="28">
        <v>25800</v>
      </c>
      <c r="K29" s="28">
        <v>22200</v>
      </c>
      <c r="L29" s="28">
        <v>19600</v>
      </c>
      <c r="M29" s="28">
        <v>16300</v>
      </c>
      <c r="N29" s="28">
        <v>14600</v>
      </c>
    </row>
    <row r="30" spans="2:14" ht="16.5" customHeight="1" x14ac:dyDescent="0.35">
      <c r="B30" s="22" t="s">
        <v>104</v>
      </c>
      <c r="C30" s="28">
        <v>4600</v>
      </c>
      <c r="D30" s="28">
        <v>4400</v>
      </c>
      <c r="E30" s="28">
        <v>5300</v>
      </c>
      <c r="F30" s="28">
        <v>6200</v>
      </c>
      <c r="G30" s="28">
        <v>7800</v>
      </c>
      <c r="H30" s="28">
        <v>8700</v>
      </c>
      <c r="I30" s="28">
        <v>9500</v>
      </c>
      <c r="J30" s="28">
        <v>9000</v>
      </c>
      <c r="K30" s="28">
        <v>7600</v>
      </c>
      <c r="L30" s="28">
        <v>6900</v>
      </c>
      <c r="M30" s="28">
        <v>6000</v>
      </c>
      <c r="N30" s="28">
        <v>5400</v>
      </c>
    </row>
    <row r="31" spans="2:14" ht="16.5" customHeight="1" x14ac:dyDescent="0.35">
      <c r="B31" s="22" t="s">
        <v>105</v>
      </c>
      <c r="C31" s="28">
        <v>5000</v>
      </c>
      <c r="D31" s="28">
        <v>5000</v>
      </c>
      <c r="E31" s="28">
        <v>5700</v>
      </c>
      <c r="F31" s="28">
        <v>6700</v>
      </c>
      <c r="G31" s="28">
        <v>7800</v>
      </c>
      <c r="H31" s="28">
        <v>8700</v>
      </c>
      <c r="I31" s="28">
        <v>9500</v>
      </c>
      <c r="J31" s="28">
        <v>9000</v>
      </c>
      <c r="K31" s="28">
        <v>8100</v>
      </c>
      <c r="L31" s="28">
        <v>7400</v>
      </c>
      <c r="M31" s="28">
        <v>6400</v>
      </c>
      <c r="N31" s="28">
        <v>5400</v>
      </c>
    </row>
    <row r="32" spans="2:14" ht="16.5" customHeight="1" x14ac:dyDescent="0.35">
      <c r="B32" s="29" t="s">
        <v>106</v>
      </c>
      <c r="C32" s="30">
        <f t="shared" ref="C32:N32" si="3">IF(COUNT(C26:C31)=6,SUM(C26:C31),"")</f>
        <v>331300</v>
      </c>
      <c r="D32" s="30">
        <f t="shared" si="3"/>
        <v>311800</v>
      </c>
      <c r="E32" s="30">
        <f t="shared" si="3"/>
        <v>378000</v>
      </c>
      <c r="F32" s="30">
        <f t="shared" si="3"/>
        <v>445900</v>
      </c>
      <c r="G32" s="30">
        <f t="shared" si="3"/>
        <v>522300</v>
      </c>
      <c r="H32" s="30">
        <f t="shared" si="3"/>
        <v>579800</v>
      </c>
      <c r="I32" s="30">
        <f t="shared" si="3"/>
        <v>631800</v>
      </c>
      <c r="J32" s="30">
        <f t="shared" si="3"/>
        <v>599700</v>
      </c>
      <c r="K32" s="30">
        <f t="shared" si="3"/>
        <v>542000</v>
      </c>
      <c r="L32" s="30">
        <f t="shared" si="3"/>
        <v>491200</v>
      </c>
      <c r="M32" s="30">
        <f t="shared" si="3"/>
        <v>428700</v>
      </c>
      <c r="N32" s="31">
        <f t="shared" si="3"/>
        <v>384900</v>
      </c>
    </row>
    <row r="33" spans="2:14" ht="16.5" customHeight="1" x14ac:dyDescent="0.35">
      <c r="B33" s="29" t="s">
        <v>42</v>
      </c>
      <c r="C33" s="30">
        <f t="shared" ref="C33:N33" si="4">IF(AND(ISNUMBER(C22),ISNUMBER(C32)),C22-C32,"")</f>
        <v>115200</v>
      </c>
      <c r="D33" s="30">
        <f t="shared" si="4"/>
        <v>105000</v>
      </c>
      <c r="E33" s="30">
        <f t="shared" si="4"/>
        <v>123200</v>
      </c>
      <c r="F33" s="30">
        <f t="shared" si="4"/>
        <v>136200</v>
      </c>
      <c r="G33" s="30">
        <f t="shared" si="4"/>
        <v>148100</v>
      </c>
      <c r="H33" s="30">
        <f t="shared" si="4"/>
        <v>150400</v>
      </c>
      <c r="I33" s="30">
        <f t="shared" si="4"/>
        <v>152000</v>
      </c>
      <c r="J33" s="30">
        <f t="shared" si="4"/>
        <v>157400</v>
      </c>
      <c r="K33" s="30">
        <f t="shared" si="4"/>
        <v>155600</v>
      </c>
      <c r="L33" s="30">
        <f t="shared" si="4"/>
        <v>151700</v>
      </c>
      <c r="M33" s="30">
        <f t="shared" si="4"/>
        <v>142100</v>
      </c>
      <c r="N33" s="31">
        <f t="shared" si="4"/>
        <v>133200</v>
      </c>
    </row>
    <row r="34" spans="2:14" ht="16.5" customHeight="1" x14ac:dyDescent="0.35">
      <c r="B34" s="29" t="s">
        <v>44</v>
      </c>
      <c r="C34" s="32">
        <f t="shared" ref="C34:N34" si="5">IF(NOT(ISNUMBER(C33)),"",IF(C22=0,"N/M",C33/C22))</f>
        <v>0.25800671892497201</v>
      </c>
      <c r="D34" s="32">
        <f t="shared" si="5"/>
        <v>0.2519193857965451</v>
      </c>
      <c r="E34" s="32">
        <f t="shared" si="5"/>
        <v>0.24581005586592178</v>
      </c>
      <c r="F34" s="32">
        <f t="shared" si="5"/>
        <v>0.23398041573612782</v>
      </c>
      <c r="G34" s="32">
        <f t="shared" si="5"/>
        <v>0.22091288782816229</v>
      </c>
      <c r="H34" s="32">
        <f t="shared" si="5"/>
        <v>0.20597096685839497</v>
      </c>
      <c r="I34" s="32">
        <f t="shared" si="5"/>
        <v>0.19392702219954069</v>
      </c>
      <c r="J34" s="32">
        <f t="shared" si="5"/>
        <v>0.20789856029586581</v>
      </c>
      <c r="K34" s="32">
        <f t="shared" si="5"/>
        <v>0.22305045871559634</v>
      </c>
      <c r="L34" s="32">
        <f t="shared" si="5"/>
        <v>0.23596204697464612</v>
      </c>
      <c r="M34" s="32">
        <f t="shared" si="5"/>
        <v>0.24894884372810092</v>
      </c>
      <c r="N34" s="33">
        <f t="shared" si="5"/>
        <v>0.25709322524609146</v>
      </c>
    </row>
    <row r="35" spans="2:14" ht="15.75" customHeight="1" x14ac:dyDescent="0.35">
      <c r="B35" s="99" t="s">
        <v>107</v>
      </c>
      <c r="C35" s="99"/>
      <c r="D35" s="99"/>
      <c r="E35" s="99"/>
      <c r="F35" s="99"/>
      <c r="G35" s="99"/>
      <c r="H35" s="99"/>
      <c r="I35" s="99"/>
      <c r="J35" s="99"/>
      <c r="K35" s="99"/>
      <c r="L35" s="99"/>
      <c r="M35" s="99"/>
      <c r="N35" s="99"/>
    </row>
    <row r="36" spans="2:14" ht="7.5" customHeight="1" x14ac:dyDescent="0.35"/>
    <row r="37" spans="2:14" ht="18.75" customHeight="1" x14ac:dyDescent="0.35">
      <c r="B37" s="1" t="s">
        <v>108</v>
      </c>
      <c r="C37" s="1"/>
      <c r="D37" s="1"/>
      <c r="E37" s="1"/>
      <c r="F37" s="1"/>
      <c r="G37" s="1"/>
      <c r="H37" s="1"/>
      <c r="I37" s="1"/>
      <c r="J37" s="1"/>
      <c r="K37" s="1"/>
      <c r="L37" s="1"/>
      <c r="M37" s="1"/>
      <c r="N37" s="1"/>
    </row>
    <row r="38" spans="2:14" ht="15.75" customHeight="1" x14ac:dyDescent="0.35">
      <c r="B38" s="26" t="s">
        <v>94</v>
      </c>
      <c r="C38" s="27" t="str">
        <f t="shared" ref="C38:N38" si="6">C13</f>
        <v>Jan 2025</v>
      </c>
      <c r="D38" s="27" t="str">
        <f t="shared" si="6"/>
        <v>Feb 2025</v>
      </c>
      <c r="E38" s="27" t="str">
        <f t="shared" si="6"/>
        <v>Mar 2025</v>
      </c>
      <c r="F38" s="27" t="str">
        <f t="shared" si="6"/>
        <v>Apr 2025</v>
      </c>
      <c r="G38" s="27" t="str">
        <f t="shared" si="6"/>
        <v>May 2025</v>
      </c>
      <c r="H38" s="27" t="str">
        <f t="shared" si="6"/>
        <v>Jun 2025</v>
      </c>
      <c r="I38" s="27" t="str">
        <f t="shared" si="6"/>
        <v>Jul 2025</v>
      </c>
      <c r="J38" s="27" t="str">
        <f t="shared" si="6"/>
        <v>Aug 2025</v>
      </c>
      <c r="K38" s="27" t="str">
        <f t="shared" si="6"/>
        <v>Sep 2025</v>
      </c>
      <c r="L38" s="27" t="str">
        <f t="shared" si="6"/>
        <v>Oct 2025</v>
      </c>
      <c r="M38" s="27" t="str">
        <f t="shared" si="6"/>
        <v>Nov 2025</v>
      </c>
      <c r="N38" s="27" t="str">
        <f t="shared" si="6"/>
        <v>Dec 2025</v>
      </c>
    </row>
    <row r="39" spans="2:14" ht="16.5" customHeight="1" x14ac:dyDescent="0.35">
      <c r="B39" s="22" t="s">
        <v>109</v>
      </c>
      <c r="C39" s="28">
        <v>58000</v>
      </c>
      <c r="D39" s="28">
        <v>58000</v>
      </c>
      <c r="E39" s="28">
        <v>59500</v>
      </c>
      <c r="F39" s="28">
        <v>59500</v>
      </c>
      <c r="G39" s="28">
        <v>61000</v>
      </c>
      <c r="H39" s="28">
        <v>61000</v>
      </c>
      <c r="I39" s="28">
        <v>62500</v>
      </c>
      <c r="J39" s="28">
        <v>62500</v>
      </c>
      <c r="K39" s="28">
        <v>62500</v>
      </c>
      <c r="L39" s="28">
        <v>61000</v>
      </c>
      <c r="M39" s="28">
        <v>61000</v>
      </c>
      <c r="N39" s="28">
        <v>61000</v>
      </c>
    </row>
    <row r="40" spans="2:14" ht="16.5" customHeight="1" x14ac:dyDescent="0.35">
      <c r="B40" s="22" t="s">
        <v>110</v>
      </c>
      <c r="C40" s="28">
        <v>9800</v>
      </c>
      <c r="D40" s="28">
        <v>9800</v>
      </c>
      <c r="E40" s="28">
        <v>9800</v>
      </c>
      <c r="F40" s="28">
        <v>9800</v>
      </c>
      <c r="G40" s="28">
        <v>9800</v>
      </c>
      <c r="H40" s="28">
        <v>9800</v>
      </c>
      <c r="I40" s="28">
        <v>9800</v>
      </c>
      <c r="J40" s="28">
        <v>9800</v>
      </c>
      <c r="K40" s="28">
        <v>9800</v>
      </c>
      <c r="L40" s="28">
        <v>9800</v>
      </c>
      <c r="M40" s="28">
        <v>9800</v>
      </c>
      <c r="N40" s="28">
        <v>9800</v>
      </c>
    </row>
    <row r="41" spans="2:14" ht="16.5" customHeight="1" x14ac:dyDescent="0.35">
      <c r="B41" s="22" t="s">
        <v>111</v>
      </c>
      <c r="C41" s="28">
        <v>12400</v>
      </c>
      <c r="D41" s="28">
        <v>11800</v>
      </c>
      <c r="E41" s="28">
        <v>13200</v>
      </c>
      <c r="F41" s="28">
        <v>14100</v>
      </c>
      <c r="G41" s="28">
        <v>15300</v>
      </c>
      <c r="H41" s="28">
        <v>16200</v>
      </c>
      <c r="I41" s="28">
        <v>16800</v>
      </c>
      <c r="J41" s="28">
        <v>16100</v>
      </c>
      <c r="K41" s="28">
        <v>15200</v>
      </c>
      <c r="L41" s="28">
        <v>14300</v>
      </c>
      <c r="M41" s="28">
        <v>13100</v>
      </c>
      <c r="N41" s="28">
        <v>12600</v>
      </c>
    </row>
    <row r="42" spans="2:14" ht="16.5" customHeight="1" x14ac:dyDescent="0.35">
      <c r="B42" s="22" t="s">
        <v>112</v>
      </c>
      <c r="C42" s="28">
        <v>6900</v>
      </c>
      <c r="D42" s="28">
        <v>6900</v>
      </c>
      <c r="E42" s="28">
        <v>6900</v>
      </c>
      <c r="F42" s="28">
        <v>7250</v>
      </c>
      <c r="G42" s="28">
        <v>7250</v>
      </c>
      <c r="H42" s="28">
        <v>7250</v>
      </c>
      <c r="I42" s="28">
        <v>7250</v>
      </c>
      <c r="J42" s="28">
        <v>7250</v>
      </c>
      <c r="K42" s="28">
        <v>7250</v>
      </c>
      <c r="L42" s="28">
        <v>7250</v>
      </c>
      <c r="M42" s="28">
        <v>7250</v>
      </c>
      <c r="N42" s="28">
        <v>7250</v>
      </c>
    </row>
    <row r="43" spans="2:14" ht="16.5" customHeight="1" x14ac:dyDescent="0.35">
      <c r="B43" s="22" t="s">
        <v>113</v>
      </c>
      <c r="C43" s="28">
        <v>2150</v>
      </c>
      <c r="D43" s="28">
        <v>2150</v>
      </c>
      <c r="E43" s="28">
        <v>2150</v>
      </c>
      <c r="F43" s="28">
        <v>2280</v>
      </c>
      <c r="G43" s="28">
        <v>2280</v>
      </c>
      <c r="H43" s="28">
        <v>2280</v>
      </c>
      <c r="I43" s="28">
        <v>2280</v>
      </c>
      <c r="J43" s="28">
        <v>2280</v>
      </c>
      <c r="K43" s="28">
        <v>2380</v>
      </c>
      <c r="L43" s="28">
        <v>2380</v>
      </c>
      <c r="M43" s="28">
        <v>2380</v>
      </c>
      <c r="N43" s="28">
        <v>2380</v>
      </c>
    </row>
    <row r="44" spans="2:14" ht="16.5" customHeight="1" x14ac:dyDescent="0.35">
      <c r="B44" s="22" t="s">
        <v>114</v>
      </c>
      <c r="C44" s="28">
        <v>4200</v>
      </c>
      <c r="D44" s="28">
        <v>3600</v>
      </c>
      <c r="E44" s="28">
        <v>5100</v>
      </c>
      <c r="F44" s="28">
        <v>6300</v>
      </c>
      <c r="G44" s="28">
        <v>7200</v>
      </c>
      <c r="H44" s="28">
        <v>7800</v>
      </c>
      <c r="I44" s="28">
        <v>7500</v>
      </c>
      <c r="J44" s="28">
        <v>6900</v>
      </c>
      <c r="K44" s="28">
        <v>6100</v>
      </c>
      <c r="L44" s="28">
        <v>5400</v>
      </c>
      <c r="M44" s="28">
        <v>4800</v>
      </c>
      <c r="N44" s="28">
        <v>5600</v>
      </c>
    </row>
    <row r="45" spans="2:14" ht="16.5" customHeight="1" x14ac:dyDescent="0.35">
      <c r="B45" s="22" t="s">
        <v>115</v>
      </c>
      <c r="C45" s="28">
        <v>3400</v>
      </c>
      <c r="D45" s="28">
        <v>9200</v>
      </c>
      <c r="E45" s="28">
        <v>3400</v>
      </c>
      <c r="F45" s="28">
        <v>3400</v>
      </c>
      <c r="G45" s="28">
        <v>3400</v>
      </c>
      <c r="H45" s="28">
        <v>3400</v>
      </c>
      <c r="I45" s="28">
        <v>3400</v>
      </c>
      <c r="J45" s="28">
        <v>3400</v>
      </c>
      <c r="K45" s="28">
        <v>3400</v>
      </c>
      <c r="L45" s="28">
        <v>3400</v>
      </c>
      <c r="M45" s="28">
        <v>3400</v>
      </c>
      <c r="N45" s="28">
        <v>7800</v>
      </c>
    </row>
    <row r="46" spans="2:14" ht="16.5" customHeight="1" x14ac:dyDescent="0.35">
      <c r="B46" s="22" t="s">
        <v>116</v>
      </c>
      <c r="C46" s="28">
        <v>2900</v>
      </c>
      <c r="D46" s="28">
        <v>2750</v>
      </c>
      <c r="E46" s="28">
        <v>3100</v>
      </c>
      <c r="F46" s="28">
        <v>3300</v>
      </c>
      <c r="G46" s="28">
        <v>3450</v>
      </c>
      <c r="H46" s="28">
        <v>3600</v>
      </c>
      <c r="I46" s="28">
        <v>3700</v>
      </c>
      <c r="J46" s="28">
        <v>3550</v>
      </c>
      <c r="K46" s="28">
        <v>3350</v>
      </c>
      <c r="L46" s="28">
        <v>3200</v>
      </c>
      <c r="M46" s="28">
        <v>3000</v>
      </c>
      <c r="N46" s="28">
        <v>3050</v>
      </c>
    </row>
    <row r="47" spans="2:14" ht="16.5" customHeight="1" x14ac:dyDescent="0.35">
      <c r="B47" s="22" t="s">
        <v>117</v>
      </c>
      <c r="C47" s="28">
        <v>1800</v>
      </c>
      <c r="D47" s="28">
        <v>1650</v>
      </c>
      <c r="E47" s="28">
        <v>1900</v>
      </c>
      <c r="F47" s="28">
        <v>2050</v>
      </c>
      <c r="G47" s="28">
        <v>2200</v>
      </c>
      <c r="H47" s="28">
        <v>2350</v>
      </c>
      <c r="I47" s="28">
        <v>2450</v>
      </c>
      <c r="J47" s="28">
        <v>2300</v>
      </c>
      <c r="K47" s="28">
        <v>2150</v>
      </c>
      <c r="L47" s="28">
        <v>2000</v>
      </c>
      <c r="M47" s="28">
        <v>1850</v>
      </c>
      <c r="N47" s="28">
        <v>1900</v>
      </c>
    </row>
    <row r="48" spans="2:14" ht="16.5" customHeight="1" x14ac:dyDescent="0.35">
      <c r="B48" s="29" t="s">
        <v>118</v>
      </c>
      <c r="C48" s="30">
        <f t="shared" ref="C48:N48" si="7">IF(COUNT(C39:C47)=9,SUM(C39:C47),"")</f>
        <v>101550</v>
      </c>
      <c r="D48" s="30">
        <f t="shared" si="7"/>
        <v>105850</v>
      </c>
      <c r="E48" s="30">
        <f t="shared" si="7"/>
        <v>105050</v>
      </c>
      <c r="F48" s="30">
        <f t="shared" si="7"/>
        <v>107980</v>
      </c>
      <c r="G48" s="30">
        <f t="shared" si="7"/>
        <v>111880</v>
      </c>
      <c r="H48" s="30">
        <f t="shared" si="7"/>
        <v>113680</v>
      </c>
      <c r="I48" s="30">
        <f t="shared" si="7"/>
        <v>115680</v>
      </c>
      <c r="J48" s="30">
        <f t="shared" si="7"/>
        <v>114080</v>
      </c>
      <c r="K48" s="30">
        <f t="shared" si="7"/>
        <v>112130</v>
      </c>
      <c r="L48" s="30">
        <f t="shared" si="7"/>
        <v>108730</v>
      </c>
      <c r="M48" s="30">
        <f t="shared" si="7"/>
        <v>106580</v>
      </c>
      <c r="N48" s="31">
        <f t="shared" si="7"/>
        <v>111380</v>
      </c>
    </row>
    <row r="49" spans="2:14" ht="16.5" customHeight="1" x14ac:dyDescent="0.35">
      <c r="B49" s="29" t="s">
        <v>46</v>
      </c>
      <c r="C49" s="30">
        <f t="shared" ref="C49:N49" si="8">IF(AND(ISNUMBER(C33),ISNUMBER(C48)),C33-C48,"")</f>
        <v>13650</v>
      </c>
      <c r="D49" s="30">
        <f t="shared" si="8"/>
        <v>-850</v>
      </c>
      <c r="E49" s="30">
        <f t="shared" si="8"/>
        <v>18150</v>
      </c>
      <c r="F49" s="30">
        <f t="shared" si="8"/>
        <v>28220</v>
      </c>
      <c r="G49" s="30">
        <f t="shared" si="8"/>
        <v>36220</v>
      </c>
      <c r="H49" s="30">
        <f t="shared" si="8"/>
        <v>36720</v>
      </c>
      <c r="I49" s="30">
        <f t="shared" si="8"/>
        <v>36320</v>
      </c>
      <c r="J49" s="30">
        <f t="shared" si="8"/>
        <v>43320</v>
      </c>
      <c r="K49" s="30">
        <f t="shared" si="8"/>
        <v>43470</v>
      </c>
      <c r="L49" s="30">
        <f t="shared" si="8"/>
        <v>42970</v>
      </c>
      <c r="M49" s="30">
        <f t="shared" si="8"/>
        <v>35520</v>
      </c>
      <c r="N49" s="31">
        <f t="shared" si="8"/>
        <v>21820</v>
      </c>
    </row>
    <row r="50" spans="2:14" ht="16.5" customHeight="1" x14ac:dyDescent="0.35">
      <c r="B50" s="29" t="s">
        <v>119</v>
      </c>
      <c r="C50" s="32">
        <f t="shared" ref="C50:N50" si="9">IF(NOT(ISNUMBER(C49)),"",IF(C22=0,"N/M",C49/C22))</f>
        <v>3.0571108622620382E-2</v>
      </c>
      <c r="D50" s="32">
        <f t="shared" si="9"/>
        <v>-2.0393474088291745E-3</v>
      </c>
      <c r="E50" s="32">
        <f t="shared" si="9"/>
        <v>3.6213088587390266E-2</v>
      </c>
      <c r="F50" s="32">
        <f t="shared" si="9"/>
        <v>4.8479642673080227E-2</v>
      </c>
      <c r="G50" s="32">
        <f t="shared" si="9"/>
        <v>5.4027446300715994E-2</v>
      </c>
      <c r="H50" s="32">
        <f t="shared" si="9"/>
        <v>5.0287592440427277E-2</v>
      </c>
      <c r="I50" s="32">
        <f t="shared" si="9"/>
        <v>4.6338351620311302E-2</v>
      </c>
      <c r="J50" s="32">
        <f t="shared" si="9"/>
        <v>5.7218333113195088E-2</v>
      </c>
      <c r="K50" s="32">
        <f t="shared" si="9"/>
        <v>6.2313646788990824E-2</v>
      </c>
      <c r="L50" s="32">
        <f t="shared" si="9"/>
        <v>6.6837766371130813E-2</v>
      </c>
      <c r="M50" s="32">
        <f t="shared" si="9"/>
        <v>6.2228451296426068E-2</v>
      </c>
      <c r="N50" s="33">
        <f t="shared" si="9"/>
        <v>4.211542173325613E-2</v>
      </c>
    </row>
    <row r="51" spans="2:14" ht="15.75" customHeight="1" x14ac:dyDescent="0.35">
      <c r="B51" s="99" t="s">
        <v>120</v>
      </c>
      <c r="C51" s="99"/>
      <c r="D51" s="99"/>
      <c r="E51" s="99"/>
      <c r="F51" s="99"/>
      <c r="G51" s="99"/>
      <c r="H51" s="99"/>
      <c r="I51" s="99"/>
      <c r="J51" s="99"/>
      <c r="K51" s="99"/>
      <c r="L51" s="99"/>
      <c r="M51" s="99"/>
      <c r="N51" s="99"/>
    </row>
    <row r="52" spans="2:14" ht="7.5" customHeight="1" x14ac:dyDescent="0.35"/>
    <row r="53" spans="2:14" ht="18.75" customHeight="1" x14ac:dyDescent="0.35">
      <c r="B53" s="1" t="s">
        <v>121</v>
      </c>
      <c r="C53" s="1"/>
      <c r="D53" s="1"/>
      <c r="E53" s="1"/>
      <c r="F53" s="1"/>
      <c r="G53" s="1"/>
      <c r="H53" s="1"/>
      <c r="I53" s="1"/>
      <c r="J53" s="1"/>
      <c r="K53" s="1"/>
      <c r="L53" s="1"/>
      <c r="M53" s="1"/>
      <c r="N53" s="1"/>
    </row>
    <row r="54" spans="2:14" ht="15.75" customHeight="1" x14ac:dyDescent="0.35">
      <c r="B54" s="26" t="s">
        <v>94</v>
      </c>
      <c r="C54" s="27" t="str">
        <f t="shared" ref="C54:N54" si="10">C13</f>
        <v>Jan 2025</v>
      </c>
      <c r="D54" s="27" t="str">
        <f t="shared" si="10"/>
        <v>Feb 2025</v>
      </c>
      <c r="E54" s="27" t="str">
        <f t="shared" si="10"/>
        <v>Mar 2025</v>
      </c>
      <c r="F54" s="27" t="str">
        <f t="shared" si="10"/>
        <v>Apr 2025</v>
      </c>
      <c r="G54" s="27" t="str">
        <f t="shared" si="10"/>
        <v>May 2025</v>
      </c>
      <c r="H54" s="27" t="str">
        <f t="shared" si="10"/>
        <v>Jun 2025</v>
      </c>
      <c r="I54" s="27" t="str">
        <f t="shared" si="10"/>
        <v>Jul 2025</v>
      </c>
      <c r="J54" s="27" t="str">
        <f t="shared" si="10"/>
        <v>Aug 2025</v>
      </c>
      <c r="K54" s="27" t="str">
        <f t="shared" si="10"/>
        <v>Sep 2025</v>
      </c>
      <c r="L54" s="27" t="str">
        <f t="shared" si="10"/>
        <v>Oct 2025</v>
      </c>
      <c r="M54" s="27" t="str">
        <f t="shared" si="10"/>
        <v>Nov 2025</v>
      </c>
      <c r="N54" s="27" t="str">
        <f t="shared" si="10"/>
        <v>Dec 2025</v>
      </c>
    </row>
    <row r="55" spans="2:14" ht="16.5" customHeight="1" x14ac:dyDescent="0.35">
      <c r="B55" s="22" t="s">
        <v>48</v>
      </c>
      <c r="C55" s="28">
        <v>18000</v>
      </c>
      <c r="D55" s="28">
        <v>18000</v>
      </c>
      <c r="E55" s="28">
        <v>18000</v>
      </c>
      <c r="F55" s="28">
        <v>22000</v>
      </c>
      <c r="G55" s="28">
        <v>22000</v>
      </c>
      <c r="H55" s="28">
        <v>28000</v>
      </c>
      <c r="I55" s="28">
        <v>32000</v>
      </c>
      <c r="J55" s="28">
        <v>28000</v>
      </c>
      <c r="K55" s="28">
        <v>25000</v>
      </c>
      <c r="L55" s="28">
        <v>22000</v>
      </c>
      <c r="M55" s="28">
        <v>20000</v>
      </c>
      <c r="N55" s="28">
        <v>35000</v>
      </c>
    </row>
    <row r="56" spans="2:14" ht="16.5" customHeight="1" x14ac:dyDescent="0.35">
      <c r="B56" s="29" t="s">
        <v>122</v>
      </c>
      <c r="C56" s="30">
        <f t="shared" ref="C56:N56" si="11">IF(AND(ISNUMBER(C49),ISNUMBER(C55)),C49-C55,"")</f>
        <v>-4350</v>
      </c>
      <c r="D56" s="30">
        <f t="shared" si="11"/>
        <v>-18850</v>
      </c>
      <c r="E56" s="30">
        <f t="shared" si="11"/>
        <v>150</v>
      </c>
      <c r="F56" s="30">
        <f t="shared" si="11"/>
        <v>6220</v>
      </c>
      <c r="G56" s="30">
        <f t="shared" si="11"/>
        <v>14220</v>
      </c>
      <c r="H56" s="30">
        <f t="shared" si="11"/>
        <v>8720</v>
      </c>
      <c r="I56" s="30">
        <f t="shared" si="11"/>
        <v>4320</v>
      </c>
      <c r="J56" s="30">
        <f t="shared" si="11"/>
        <v>15320</v>
      </c>
      <c r="K56" s="30">
        <f t="shared" si="11"/>
        <v>18470</v>
      </c>
      <c r="L56" s="30">
        <f t="shared" si="11"/>
        <v>20970</v>
      </c>
      <c r="M56" s="30">
        <f t="shared" si="11"/>
        <v>15520</v>
      </c>
      <c r="N56" s="31">
        <f t="shared" si="11"/>
        <v>-13180</v>
      </c>
    </row>
    <row r="57" spans="2:14" ht="24" customHeight="1" x14ac:dyDescent="0.35">
      <c r="B57" s="99" t="s">
        <v>123</v>
      </c>
      <c r="C57" s="99"/>
      <c r="D57" s="99"/>
      <c r="E57" s="99"/>
      <c r="F57" s="99"/>
      <c r="G57" s="99"/>
      <c r="H57" s="99"/>
      <c r="I57" s="99"/>
      <c r="J57" s="99"/>
      <c r="K57" s="99"/>
      <c r="L57" s="99"/>
      <c r="M57" s="99"/>
      <c r="N57" s="99"/>
    </row>
    <row r="58" spans="2:14" ht="7.5" customHeight="1" x14ac:dyDescent="0.35"/>
    <row r="59" spans="2:14" ht="18.75" customHeight="1" x14ac:dyDescent="0.35">
      <c r="B59" s="1" t="s">
        <v>124</v>
      </c>
      <c r="C59" s="1"/>
      <c r="D59" s="1"/>
      <c r="E59" s="1"/>
      <c r="F59" s="1"/>
      <c r="G59" s="1"/>
      <c r="H59" s="1"/>
      <c r="I59" s="1"/>
      <c r="J59" s="1"/>
      <c r="K59" s="1"/>
      <c r="L59" s="1"/>
      <c r="M59" s="1"/>
      <c r="N59" s="1"/>
    </row>
    <row r="60" spans="2:14" ht="15.75" customHeight="1" x14ac:dyDescent="0.35">
      <c r="B60" s="26" t="s">
        <v>94</v>
      </c>
      <c r="C60" s="27" t="str">
        <f t="shared" ref="C60:N60" si="12">C13</f>
        <v>Jan 2025</v>
      </c>
      <c r="D60" s="27" t="str">
        <f t="shared" si="12"/>
        <v>Feb 2025</v>
      </c>
      <c r="E60" s="27" t="str">
        <f t="shared" si="12"/>
        <v>Mar 2025</v>
      </c>
      <c r="F60" s="27" t="str">
        <f t="shared" si="12"/>
        <v>Apr 2025</v>
      </c>
      <c r="G60" s="27" t="str">
        <f t="shared" si="12"/>
        <v>May 2025</v>
      </c>
      <c r="H60" s="27" t="str">
        <f t="shared" si="12"/>
        <v>Jun 2025</v>
      </c>
      <c r="I60" s="27" t="str">
        <f t="shared" si="12"/>
        <v>Jul 2025</v>
      </c>
      <c r="J60" s="27" t="str">
        <f t="shared" si="12"/>
        <v>Aug 2025</v>
      </c>
      <c r="K60" s="27" t="str">
        <f t="shared" si="12"/>
        <v>Sep 2025</v>
      </c>
      <c r="L60" s="27" t="str">
        <f t="shared" si="12"/>
        <v>Oct 2025</v>
      </c>
      <c r="M60" s="27" t="str">
        <f t="shared" si="12"/>
        <v>Nov 2025</v>
      </c>
      <c r="N60" s="27" t="str">
        <f t="shared" si="12"/>
        <v>Dec 2025</v>
      </c>
    </row>
    <row r="61" spans="2:14" ht="16.5" customHeight="1" x14ac:dyDescent="0.35">
      <c r="B61" s="22" t="s">
        <v>125</v>
      </c>
      <c r="C61" s="28">
        <v>248000</v>
      </c>
      <c r="D61" s="28">
        <v>226000</v>
      </c>
      <c r="E61" s="28">
        <v>214000</v>
      </c>
      <c r="F61" s="28">
        <v>209000</v>
      </c>
      <c r="G61" s="28">
        <v>198000</v>
      </c>
      <c r="H61" s="28">
        <v>221000</v>
      </c>
      <c r="I61" s="28">
        <v>256000</v>
      </c>
      <c r="J61" s="28">
        <v>312000</v>
      </c>
      <c r="K61" s="28">
        <v>368000</v>
      </c>
      <c r="L61" s="28">
        <v>421000</v>
      </c>
      <c r="M61" s="28">
        <v>458000</v>
      </c>
      <c r="N61" s="28">
        <v>487000</v>
      </c>
    </row>
    <row r="62" spans="2:14" ht="16.5" customHeight="1" x14ac:dyDescent="0.35">
      <c r="B62" s="22" t="s">
        <v>126</v>
      </c>
      <c r="C62" s="28">
        <v>764000</v>
      </c>
      <c r="D62" s="28">
        <v>740000</v>
      </c>
      <c r="E62" s="28">
        <v>940000</v>
      </c>
      <c r="F62" s="28">
        <v>1168000</v>
      </c>
      <c r="G62" s="28">
        <v>1411000</v>
      </c>
      <c r="H62" s="28">
        <v>1633000</v>
      </c>
      <c r="I62" s="28">
        <v>1831000</v>
      </c>
      <c r="J62" s="28">
        <v>1718000</v>
      </c>
      <c r="K62" s="28">
        <v>1469000</v>
      </c>
      <c r="L62" s="28">
        <v>1248000</v>
      </c>
      <c r="M62" s="28">
        <v>1033000</v>
      </c>
      <c r="N62" s="28">
        <v>903000</v>
      </c>
    </row>
    <row r="63" spans="2:14" ht="16.5" customHeight="1" x14ac:dyDescent="0.35">
      <c r="B63" s="22" t="s">
        <v>127</v>
      </c>
      <c r="C63" s="28">
        <v>397000</v>
      </c>
      <c r="D63" s="28">
        <v>385000</v>
      </c>
      <c r="E63" s="28">
        <v>489000</v>
      </c>
      <c r="F63" s="28">
        <v>607000</v>
      </c>
      <c r="G63" s="28">
        <v>734000</v>
      </c>
      <c r="H63" s="28">
        <v>849000</v>
      </c>
      <c r="I63" s="28">
        <v>952000</v>
      </c>
      <c r="J63" s="28">
        <v>893000</v>
      </c>
      <c r="K63" s="28">
        <v>764000</v>
      </c>
      <c r="L63" s="28">
        <v>649000</v>
      </c>
      <c r="M63" s="28">
        <v>537000</v>
      </c>
      <c r="N63" s="28">
        <v>470000</v>
      </c>
    </row>
    <row r="64" spans="2:14" ht="16.5" customHeight="1" x14ac:dyDescent="0.35">
      <c r="B64" s="22" t="s">
        <v>128</v>
      </c>
      <c r="C64" s="28">
        <v>1054000</v>
      </c>
      <c r="D64" s="28">
        <v>1004000</v>
      </c>
      <c r="E64" s="28">
        <v>1200000</v>
      </c>
      <c r="F64" s="28">
        <v>1430000</v>
      </c>
      <c r="G64" s="28">
        <v>1670000</v>
      </c>
      <c r="H64" s="28">
        <v>1920000</v>
      </c>
      <c r="I64" s="28">
        <v>2156000</v>
      </c>
      <c r="J64" s="28">
        <v>2094000</v>
      </c>
      <c r="K64" s="28">
        <v>1895000</v>
      </c>
      <c r="L64" s="28">
        <v>1721000</v>
      </c>
      <c r="M64" s="28">
        <v>1537000</v>
      </c>
      <c r="N64" s="28">
        <v>1433000</v>
      </c>
    </row>
    <row r="65" spans="2:14" ht="16.5" customHeight="1" x14ac:dyDescent="0.35">
      <c r="B65" s="22" t="s">
        <v>129</v>
      </c>
      <c r="C65" s="28">
        <v>715000</v>
      </c>
      <c r="D65" s="28">
        <v>691000</v>
      </c>
      <c r="E65" s="28">
        <v>821000</v>
      </c>
      <c r="F65" s="28">
        <v>975000</v>
      </c>
      <c r="G65" s="28">
        <v>1132000</v>
      </c>
      <c r="H65" s="28">
        <v>1273000</v>
      </c>
      <c r="I65" s="28">
        <v>1393000</v>
      </c>
      <c r="J65" s="28">
        <v>1321000</v>
      </c>
      <c r="K65" s="28">
        <v>1165000</v>
      </c>
      <c r="L65" s="28">
        <v>1023000</v>
      </c>
      <c r="M65" s="28">
        <v>883000</v>
      </c>
      <c r="N65" s="28">
        <v>801000</v>
      </c>
    </row>
    <row r="66" spans="2:14" ht="13.5" customHeight="1" x14ac:dyDescent="0.35">
      <c r="B66" s="99" t="s">
        <v>130</v>
      </c>
      <c r="C66" s="99"/>
      <c r="D66" s="99"/>
      <c r="E66" s="99"/>
      <c r="F66" s="99"/>
      <c r="G66" s="99"/>
      <c r="H66" s="99"/>
      <c r="I66" s="99"/>
      <c r="J66" s="99"/>
      <c r="K66" s="99"/>
      <c r="L66" s="99"/>
      <c r="M66" s="99"/>
      <c r="N66" s="99"/>
    </row>
    <row r="67" spans="2:14" ht="7.5" customHeight="1" x14ac:dyDescent="0.35"/>
    <row r="68" spans="2:14" ht="18.75" customHeight="1" x14ac:dyDescent="0.35">
      <c r="B68" s="1" t="s">
        <v>131</v>
      </c>
      <c r="C68" s="1"/>
      <c r="D68" s="1"/>
      <c r="E68" s="1"/>
      <c r="F68" s="1"/>
      <c r="G68" s="1"/>
      <c r="H68" s="1"/>
      <c r="I68" s="1"/>
      <c r="J68" s="1"/>
      <c r="K68" s="1"/>
      <c r="L68" s="1"/>
      <c r="M68" s="1"/>
      <c r="N68" s="1"/>
    </row>
    <row r="69" spans="2:14" ht="15.75" customHeight="1" x14ac:dyDescent="0.35">
      <c r="B69" s="26" t="s">
        <v>94</v>
      </c>
      <c r="C69" s="27" t="str">
        <f t="shared" ref="C69:N69" si="13">C13</f>
        <v>Jan 2025</v>
      </c>
      <c r="D69" s="27" t="str">
        <f t="shared" si="13"/>
        <v>Feb 2025</v>
      </c>
      <c r="E69" s="27" t="str">
        <f t="shared" si="13"/>
        <v>Mar 2025</v>
      </c>
      <c r="F69" s="27" t="str">
        <f t="shared" si="13"/>
        <v>Apr 2025</v>
      </c>
      <c r="G69" s="27" t="str">
        <f t="shared" si="13"/>
        <v>May 2025</v>
      </c>
      <c r="H69" s="27" t="str">
        <f t="shared" si="13"/>
        <v>Jun 2025</v>
      </c>
      <c r="I69" s="27" t="str">
        <f t="shared" si="13"/>
        <v>Jul 2025</v>
      </c>
      <c r="J69" s="27" t="str">
        <f t="shared" si="13"/>
        <v>Aug 2025</v>
      </c>
      <c r="K69" s="27" t="str">
        <f t="shared" si="13"/>
        <v>Sep 2025</v>
      </c>
      <c r="L69" s="27" t="str">
        <f t="shared" si="13"/>
        <v>Oct 2025</v>
      </c>
      <c r="M69" s="27" t="str">
        <f t="shared" si="13"/>
        <v>Nov 2025</v>
      </c>
      <c r="N69" s="27" t="str">
        <f t="shared" si="13"/>
        <v>Dec 2025</v>
      </c>
    </row>
    <row r="70" spans="2:14" ht="16.5" customHeight="1" x14ac:dyDescent="0.35">
      <c r="B70" s="22" t="s">
        <v>132</v>
      </c>
      <c r="C70" s="34">
        <v>4</v>
      </c>
      <c r="D70" s="34">
        <v>3</v>
      </c>
      <c r="E70" s="34">
        <v>5</v>
      </c>
      <c r="F70" s="34">
        <v>6</v>
      </c>
      <c r="G70" s="34">
        <v>7</v>
      </c>
      <c r="H70" s="34">
        <v>7</v>
      </c>
      <c r="I70" s="34">
        <v>8</v>
      </c>
      <c r="J70" s="34">
        <v>6</v>
      </c>
      <c r="K70" s="34">
        <v>5</v>
      </c>
      <c r="L70" s="34">
        <v>5</v>
      </c>
      <c r="M70" s="34">
        <v>4</v>
      </c>
      <c r="N70" s="34">
        <v>4</v>
      </c>
    </row>
    <row r="71" spans="2:14" ht="16.5" customHeight="1" x14ac:dyDescent="0.35">
      <c r="B71" s="22" t="s">
        <v>133</v>
      </c>
      <c r="C71" s="34">
        <v>3</v>
      </c>
      <c r="D71" s="34">
        <v>4</v>
      </c>
      <c r="E71" s="34">
        <v>4</v>
      </c>
      <c r="F71" s="34">
        <v>5</v>
      </c>
      <c r="G71" s="34">
        <v>6</v>
      </c>
      <c r="H71" s="34">
        <v>7</v>
      </c>
      <c r="I71" s="34">
        <v>7</v>
      </c>
      <c r="J71" s="34">
        <v>7</v>
      </c>
      <c r="K71" s="34">
        <v>6</v>
      </c>
      <c r="L71" s="34">
        <v>5</v>
      </c>
      <c r="M71" s="34">
        <v>5</v>
      </c>
      <c r="N71" s="34">
        <v>4</v>
      </c>
    </row>
    <row r="72" spans="2:14" ht="16.5" customHeight="1" x14ac:dyDescent="0.35">
      <c r="B72" s="22" t="s">
        <v>134</v>
      </c>
      <c r="C72" s="34">
        <v>7</v>
      </c>
      <c r="D72" s="34">
        <v>6</v>
      </c>
      <c r="E72" s="34">
        <v>7</v>
      </c>
      <c r="F72" s="34">
        <v>8</v>
      </c>
      <c r="G72" s="34">
        <v>9</v>
      </c>
      <c r="H72" s="34">
        <v>9</v>
      </c>
      <c r="I72" s="34">
        <v>10</v>
      </c>
      <c r="J72" s="34">
        <v>9</v>
      </c>
      <c r="K72" s="34">
        <v>8</v>
      </c>
      <c r="L72" s="34">
        <v>8</v>
      </c>
      <c r="M72" s="34">
        <v>7</v>
      </c>
      <c r="N72" s="34">
        <v>7</v>
      </c>
    </row>
    <row r="73" spans="2:14" ht="16.5" customHeight="1" x14ac:dyDescent="0.35">
      <c r="B73" s="22" t="s">
        <v>135</v>
      </c>
      <c r="C73" s="28">
        <v>1420000</v>
      </c>
      <c r="D73" s="28">
        <v>1365000</v>
      </c>
      <c r="E73" s="28">
        <v>1510000</v>
      </c>
      <c r="F73" s="28">
        <v>1685000</v>
      </c>
      <c r="G73" s="28">
        <v>1840000</v>
      </c>
      <c r="H73" s="28">
        <v>1915000</v>
      </c>
      <c r="I73" s="28">
        <v>1880000</v>
      </c>
      <c r="J73" s="28">
        <v>1760000</v>
      </c>
      <c r="K73" s="28">
        <v>1615000</v>
      </c>
      <c r="L73" s="28">
        <v>1520000</v>
      </c>
      <c r="M73" s="28">
        <v>1445000</v>
      </c>
      <c r="N73" s="28">
        <v>1595000</v>
      </c>
    </row>
    <row r="74" spans="2:14" ht="16.5" customHeight="1" x14ac:dyDescent="0.35">
      <c r="B74" s="22" t="s">
        <v>136</v>
      </c>
      <c r="C74" s="28">
        <v>18500</v>
      </c>
      <c r="D74" s="28">
        <v>9200</v>
      </c>
      <c r="E74" s="28">
        <v>26400</v>
      </c>
      <c r="F74" s="28">
        <v>31800</v>
      </c>
      <c r="G74" s="28">
        <v>44700</v>
      </c>
      <c r="H74" s="28">
        <v>52300</v>
      </c>
      <c r="I74" s="28">
        <v>38900</v>
      </c>
      <c r="J74" s="28">
        <v>27600</v>
      </c>
      <c r="K74" s="28">
        <v>19800</v>
      </c>
      <c r="L74" s="28">
        <v>23400</v>
      </c>
      <c r="M74" s="28">
        <v>14600</v>
      </c>
      <c r="N74" s="28">
        <v>41200</v>
      </c>
    </row>
    <row r="75" spans="2:14" ht="16.5" customHeight="1" x14ac:dyDescent="0.35">
      <c r="B75" s="22" t="s">
        <v>137</v>
      </c>
      <c r="C75" s="34">
        <v>9</v>
      </c>
      <c r="D75" s="34">
        <v>7</v>
      </c>
      <c r="E75" s="34">
        <v>11</v>
      </c>
      <c r="F75" s="34">
        <v>13</v>
      </c>
      <c r="G75" s="34">
        <v>15</v>
      </c>
      <c r="H75" s="34">
        <v>16</v>
      </c>
      <c r="I75" s="34">
        <v>14</v>
      </c>
      <c r="J75" s="34">
        <v>12</v>
      </c>
      <c r="K75" s="34">
        <v>11</v>
      </c>
      <c r="L75" s="34">
        <v>10</v>
      </c>
      <c r="M75" s="34">
        <v>8</v>
      </c>
      <c r="N75" s="34">
        <v>9</v>
      </c>
    </row>
    <row r="76" spans="2:14" ht="16.5" customHeight="1" x14ac:dyDescent="0.35">
      <c r="B76" s="22" t="s">
        <v>138</v>
      </c>
      <c r="C76" s="34">
        <v>4</v>
      </c>
      <c r="D76" s="34">
        <v>3</v>
      </c>
      <c r="E76" s="34">
        <v>5</v>
      </c>
      <c r="F76" s="34">
        <v>6</v>
      </c>
      <c r="G76" s="34">
        <v>7</v>
      </c>
      <c r="H76" s="34">
        <v>7</v>
      </c>
      <c r="I76" s="34">
        <v>6</v>
      </c>
      <c r="J76" s="34">
        <v>5</v>
      </c>
      <c r="K76" s="34">
        <v>5</v>
      </c>
      <c r="L76" s="34">
        <v>4</v>
      </c>
      <c r="M76" s="34">
        <v>3</v>
      </c>
      <c r="N76" s="34">
        <v>4</v>
      </c>
    </row>
    <row r="77" spans="2:14" ht="19.5" customHeight="1" x14ac:dyDescent="0.35">
      <c r="B77" s="99" t="s">
        <v>139</v>
      </c>
      <c r="C77" s="99"/>
      <c r="D77" s="99"/>
      <c r="E77" s="99"/>
      <c r="F77" s="99"/>
      <c r="G77" s="99"/>
      <c r="H77" s="99"/>
      <c r="I77" s="99"/>
      <c r="J77" s="99"/>
      <c r="K77" s="99"/>
      <c r="L77" s="99"/>
      <c r="M77" s="99"/>
      <c r="N77" s="99"/>
    </row>
    <row r="78" spans="2:14" ht="7.5" customHeight="1" x14ac:dyDescent="0.35"/>
    <row r="79" spans="2:14" ht="18.75" customHeight="1" x14ac:dyDescent="0.35">
      <c r="B79" s="1" t="s">
        <v>140</v>
      </c>
      <c r="C79" s="1"/>
      <c r="D79" s="1"/>
      <c r="E79" s="1"/>
      <c r="F79" s="1"/>
      <c r="G79" s="1"/>
      <c r="H79" s="1"/>
      <c r="I79" s="1"/>
      <c r="J79" s="1"/>
      <c r="K79" s="1"/>
      <c r="L79" s="1"/>
      <c r="M79" s="1"/>
      <c r="N79" s="1"/>
    </row>
    <row r="80" spans="2:14" ht="15.75" customHeight="1" x14ac:dyDescent="0.35">
      <c r="B80" s="26" t="s">
        <v>141</v>
      </c>
      <c r="C80" s="27" t="str">
        <f t="shared" ref="C80:N80" si="14">C13</f>
        <v>Jan 2025</v>
      </c>
      <c r="D80" s="27" t="str">
        <f t="shared" si="14"/>
        <v>Feb 2025</v>
      </c>
      <c r="E80" s="27" t="str">
        <f t="shared" si="14"/>
        <v>Mar 2025</v>
      </c>
      <c r="F80" s="27" t="str">
        <f t="shared" si="14"/>
        <v>Apr 2025</v>
      </c>
      <c r="G80" s="27" t="str">
        <f t="shared" si="14"/>
        <v>May 2025</v>
      </c>
      <c r="H80" s="27" t="str">
        <f t="shared" si="14"/>
        <v>Jun 2025</v>
      </c>
      <c r="I80" s="27" t="str">
        <f t="shared" si="14"/>
        <v>Jul 2025</v>
      </c>
      <c r="J80" s="27" t="str">
        <f t="shared" si="14"/>
        <v>Aug 2025</v>
      </c>
      <c r="K80" s="27" t="str">
        <f t="shared" si="14"/>
        <v>Sep 2025</v>
      </c>
      <c r="L80" s="27" t="str">
        <f t="shared" si="14"/>
        <v>Oct 2025</v>
      </c>
      <c r="M80" s="27" t="str">
        <f t="shared" si="14"/>
        <v>Nov 2025</v>
      </c>
      <c r="N80" s="27" t="str">
        <f t="shared" si="14"/>
        <v>Dec 2025</v>
      </c>
    </row>
    <row r="81" spans="2:14" ht="16.5" customHeight="1" x14ac:dyDescent="0.35">
      <c r="B81" s="22" t="s">
        <v>142</v>
      </c>
      <c r="C81" s="35" t="str">
        <f t="shared" ref="C81:N81" si="15">IF(C91=1,"Complete","Incomplete")</f>
        <v>Complete</v>
      </c>
      <c r="D81" s="35" t="str">
        <f t="shared" si="15"/>
        <v>Complete</v>
      </c>
      <c r="E81" s="35" t="str">
        <f t="shared" si="15"/>
        <v>Complete</v>
      </c>
      <c r="F81" s="35" t="str">
        <f t="shared" si="15"/>
        <v>Complete</v>
      </c>
      <c r="G81" s="35" t="str">
        <f t="shared" si="15"/>
        <v>Complete</v>
      </c>
      <c r="H81" s="35" t="str">
        <f t="shared" si="15"/>
        <v>Complete</v>
      </c>
      <c r="I81" s="35" t="str">
        <f t="shared" si="15"/>
        <v>Complete</v>
      </c>
      <c r="J81" s="35" t="str">
        <f t="shared" si="15"/>
        <v>Complete</v>
      </c>
      <c r="K81" s="35" t="str">
        <f t="shared" si="15"/>
        <v>Complete</v>
      </c>
      <c r="L81" s="35" t="str">
        <f t="shared" si="15"/>
        <v>Complete</v>
      </c>
      <c r="M81" s="35" t="str">
        <f t="shared" si="15"/>
        <v>Complete</v>
      </c>
      <c r="N81" s="35" t="str">
        <f t="shared" si="15"/>
        <v>Complete</v>
      </c>
    </row>
    <row r="82" spans="2:14" ht="16.5" customHeight="1" x14ac:dyDescent="0.35">
      <c r="B82" s="22" t="s">
        <v>143</v>
      </c>
      <c r="C82" s="35" t="str">
        <f t="shared" ref="C82:N82" si="16">IF(C92=1,"Complete","Incomplete")</f>
        <v>Complete</v>
      </c>
      <c r="D82" s="35" t="str">
        <f t="shared" si="16"/>
        <v>Complete</v>
      </c>
      <c r="E82" s="35" t="str">
        <f t="shared" si="16"/>
        <v>Complete</v>
      </c>
      <c r="F82" s="35" t="str">
        <f t="shared" si="16"/>
        <v>Complete</v>
      </c>
      <c r="G82" s="35" t="str">
        <f t="shared" si="16"/>
        <v>Complete</v>
      </c>
      <c r="H82" s="35" t="str">
        <f t="shared" si="16"/>
        <v>Complete</v>
      </c>
      <c r="I82" s="35" t="str">
        <f t="shared" si="16"/>
        <v>Complete</v>
      </c>
      <c r="J82" s="35" t="str">
        <f t="shared" si="16"/>
        <v>Complete</v>
      </c>
      <c r="K82" s="35" t="str">
        <f t="shared" si="16"/>
        <v>Complete</v>
      </c>
      <c r="L82" s="35" t="str">
        <f t="shared" si="16"/>
        <v>Complete</v>
      </c>
      <c r="M82" s="35" t="str">
        <f t="shared" si="16"/>
        <v>Complete</v>
      </c>
      <c r="N82" s="35" t="str">
        <f t="shared" si="16"/>
        <v>Complete</v>
      </c>
    </row>
    <row r="83" spans="2:14" ht="16.5" customHeight="1" x14ac:dyDescent="0.35">
      <c r="B83" s="22" t="s">
        <v>144</v>
      </c>
      <c r="C83" s="35" t="str">
        <f t="shared" ref="C83:N83" si="17">IF(C93=1,"Complete","Incomplete")</f>
        <v>Complete</v>
      </c>
      <c r="D83" s="35" t="str">
        <f t="shared" si="17"/>
        <v>Complete</v>
      </c>
      <c r="E83" s="35" t="str">
        <f t="shared" si="17"/>
        <v>Complete</v>
      </c>
      <c r="F83" s="35" t="str">
        <f t="shared" si="17"/>
        <v>Complete</v>
      </c>
      <c r="G83" s="35" t="str">
        <f t="shared" si="17"/>
        <v>Complete</v>
      </c>
      <c r="H83" s="35" t="str">
        <f t="shared" si="17"/>
        <v>Complete</v>
      </c>
      <c r="I83" s="35" t="str">
        <f t="shared" si="17"/>
        <v>Complete</v>
      </c>
      <c r="J83" s="35" t="str">
        <f t="shared" si="17"/>
        <v>Complete</v>
      </c>
      <c r="K83" s="35" t="str">
        <f t="shared" si="17"/>
        <v>Complete</v>
      </c>
      <c r="L83" s="35" t="str">
        <f t="shared" si="17"/>
        <v>Complete</v>
      </c>
      <c r="M83" s="35" t="str">
        <f t="shared" si="17"/>
        <v>Complete</v>
      </c>
      <c r="N83" s="35" t="str">
        <f t="shared" si="17"/>
        <v>Complete</v>
      </c>
    </row>
    <row r="84" spans="2:14" ht="16.5" customHeight="1" x14ac:dyDescent="0.35">
      <c r="B84" s="22" t="s">
        <v>145</v>
      </c>
      <c r="C84" s="35" t="str">
        <f t="shared" ref="C84:N84" si="18">IF(C96=1,"Complete","Incomplete")</f>
        <v>Complete</v>
      </c>
      <c r="D84" s="35" t="str">
        <f t="shared" si="18"/>
        <v>Complete</v>
      </c>
      <c r="E84" s="35" t="str">
        <f t="shared" si="18"/>
        <v>Complete</v>
      </c>
      <c r="F84" s="35" t="str">
        <f t="shared" si="18"/>
        <v>Complete</v>
      </c>
      <c r="G84" s="35" t="str">
        <f t="shared" si="18"/>
        <v>Complete</v>
      </c>
      <c r="H84" s="35" t="str">
        <f t="shared" si="18"/>
        <v>Complete</v>
      </c>
      <c r="I84" s="35" t="str">
        <f t="shared" si="18"/>
        <v>Complete</v>
      </c>
      <c r="J84" s="35" t="str">
        <f t="shared" si="18"/>
        <v>Complete</v>
      </c>
      <c r="K84" s="35" t="str">
        <f t="shared" si="18"/>
        <v>Complete</v>
      </c>
      <c r="L84" s="35" t="str">
        <f t="shared" si="18"/>
        <v>Complete</v>
      </c>
      <c r="M84" s="35" t="str">
        <f t="shared" si="18"/>
        <v>Complete</v>
      </c>
      <c r="N84" s="35" t="str">
        <f t="shared" si="18"/>
        <v>Complete</v>
      </c>
    </row>
    <row r="85" spans="2:14" ht="16.5" customHeight="1" x14ac:dyDescent="0.35">
      <c r="B85" s="29" t="s">
        <v>146</v>
      </c>
      <c r="C85" s="36" t="str">
        <f t="shared" ref="C85:N85" si="19">IF(C95=1,"Complete","Incomplete")</f>
        <v>Complete</v>
      </c>
      <c r="D85" s="36" t="str">
        <f t="shared" si="19"/>
        <v>Complete</v>
      </c>
      <c r="E85" s="36" t="str">
        <f t="shared" si="19"/>
        <v>Complete</v>
      </c>
      <c r="F85" s="36" t="str">
        <f t="shared" si="19"/>
        <v>Complete</v>
      </c>
      <c r="G85" s="36" t="str">
        <f t="shared" si="19"/>
        <v>Complete</v>
      </c>
      <c r="H85" s="36" t="str">
        <f t="shared" si="19"/>
        <v>Complete</v>
      </c>
      <c r="I85" s="36" t="str">
        <f t="shared" si="19"/>
        <v>Complete</v>
      </c>
      <c r="J85" s="36" t="str">
        <f t="shared" si="19"/>
        <v>Complete</v>
      </c>
      <c r="K85" s="36" t="str">
        <f t="shared" si="19"/>
        <v>Complete</v>
      </c>
      <c r="L85" s="36" t="str">
        <f t="shared" si="19"/>
        <v>Complete</v>
      </c>
      <c r="M85" s="36" t="str">
        <f t="shared" si="19"/>
        <v>Complete</v>
      </c>
      <c r="N85" s="37" t="str">
        <f t="shared" si="19"/>
        <v>Complete</v>
      </c>
    </row>
    <row r="86" spans="2:14" ht="19.5" customHeight="1" x14ac:dyDescent="0.35">
      <c r="B86" s="99" t="s">
        <v>147</v>
      </c>
      <c r="C86" s="99"/>
      <c r="D86" s="99"/>
      <c r="E86" s="99"/>
      <c r="F86" s="99"/>
      <c r="G86" s="99"/>
      <c r="H86" s="99"/>
      <c r="I86" s="99"/>
      <c r="J86" s="99"/>
      <c r="K86" s="99"/>
      <c r="L86" s="99"/>
      <c r="M86" s="99"/>
      <c r="N86" s="99"/>
    </row>
    <row r="87" spans="2:14" ht="13.5" customHeight="1" x14ac:dyDescent="0.35">
      <c r="B87" s="100" t="s">
        <v>148</v>
      </c>
      <c r="C87" s="100"/>
      <c r="D87" s="100"/>
      <c r="E87" s="100"/>
      <c r="F87" s="100"/>
      <c r="G87" s="100"/>
      <c r="H87" s="100"/>
      <c r="I87" s="100"/>
      <c r="J87" s="100"/>
      <c r="K87" s="100"/>
      <c r="L87" s="100"/>
      <c r="M87" s="100"/>
      <c r="N87" s="100"/>
    </row>
    <row r="90" spans="2:14" x14ac:dyDescent="0.35">
      <c r="B90" s="38" t="s">
        <v>149</v>
      </c>
    </row>
    <row r="91" spans="2:14" x14ac:dyDescent="0.35">
      <c r="B91" s="38" t="s">
        <v>150</v>
      </c>
      <c r="C91" s="39">
        <f t="shared" ref="C91:N91" si="20">IF(COUNT(C19:C21)=3,1,0)</f>
        <v>1</v>
      </c>
      <c r="D91" s="39">
        <f t="shared" si="20"/>
        <v>1</v>
      </c>
      <c r="E91" s="39">
        <f t="shared" si="20"/>
        <v>1</v>
      </c>
      <c r="F91" s="39">
        <f t="shared" si="20"/>
        <v>1</v>
      </c>
      <c r="G91" s="39">
        <f t="shared" si="20"/>
        <v>1</v>
      </c>
      <c r="H91" s="39">
        <f t="shared" si="20"/>
        <v>1</v>
      </c>
      <c r="I91" s="39">
        <f t="shared" si="20"/>
        <v>1</v>
      </c>
      <c r="J91" s="39">
        <f t="shared" si="20"/>
        <v>1</v>
      </c>
      <c r="K91" s="39">
        <f t="shared" si="20"/>
        <v>1</v>
      </c>
      <c r="L91" s="39">
        <f t="shared" si="20"/>
        <v>1</v>
      </c>
      <c r="M91" s="39">
        <f t="shared" si="20"/>
        <v>1</v>
      </c>
      <c r="N91" s="39">
        <f t="shared" si="20"/>
        <v>1</v>
      </c>
    </row>
    <row r="92" spans="2:14" x14ac:dyDescent="0.35">
      <c r="B92" s="38" t="s">
        <v>151</v>
      </c>
      <c r="C92" s="39">
        <f t="shared" ref="C92:N92" si="21">IF(COUNT(C26:C31)=6,1,0)</f>
        <v>1</v>
      </c>
      <c r="D92" s="39">
        <f t="shared" si="21"/>
        <v>1</v>
      </c>
      <c r="E92" s="39">
        <f t="shared" si="21"/>
        <v>1</v>
      </c>
      <c r="F92" s="39">
        <f t="shared" si="21"/>
        <v>1</v>
      </c>
      <c r="G92" s="39">
        <f t="shared" si="21"/>
        <v>1</v>
      </c>
      <c r="H92" s="39">
        <f t="shared" si="21"/>
        <v>1</v>
      </c>
      <c r="I92" s="39">
        <f t="shared" si="21"/>
        <v>1</v>
      </c>
      <c r="J92" s="39">
        <f t="shared" si="21"/>
        <v>1</v>
      </c>
      <c r="K92" s="39">
        <f t="shared" si="21"/>
        <v>1</v>
      </c>
      <c r="L92" s="39">
        <f t="shared" si="21"/>
        <v>1</v>
      </c>
      <c r="M92" s="39">
        <f t="shared" si="21"/>
        <v>1</v>
      </c>
      <c r="N92" s="39">
        <f t="shared" si="21"/>
        <v>1</v>
      </c>
    </row>
    <row r="93" spans="2:14" x14ac:dyDescent="0.35">
      <c r="B93" s="38" t="s">
        <v>152</v>
      </c>
      <c r="C93" s="39">
        <f t="shared" ref="C93:N93" si="22">IF(COUNT(C39:C47)=9,1,0)</f>
        <v>1</v>
      </c>
      <c r="D93" s="39">
        <f t="shared" si="22"/>
        <v>1</v>
      </c>
      <c r="E93" s="39">
        <f t="shared" si="22"/>
        <v>1</v>
      </c>
      <c r="F93" s="39">
        <f t="shared" si="22"/>
        <v>1</v>
      </c>
      <c r="G93" s="39">
        <f t="shared" si="22"/>
        <v>1</v>
      </c>
      <c r="H93" s="39">
        <f t="shared" si="22"/>
        <v>1</v>
      </c>
      <c r="I93" s="39">
        <f t="shared" si="22"/>
        <v>1</v>
      </c>
      <c r="J93" s="39">
        <f t="shared" si="22"/>
        <v>1</v>
      </c>
      <c r="K93" s="39">
        <f t="shared" si="22"/>
        <v>1</v>
      </c>
      <c r="L93" s="39">
        <f t="shared" si="22"/>
        <v>1</v>
      </c>
      <c r="M93" s="39">
        <f t="shared" si="22"/>
        <v>1</v>
      </c>
      <c r="N93" s="39">
        <f t="shared" si="22"/>
        <v>1</v>
      </c>
    </row>
    <row r="94" spans="2:14" x14ac:dyDescent="0.35">
      <c r="B94" s="38" t="s">
        <v>153</v>
      </c>
      <c r="C94" s="39">
        <f t="shared" ref="C94:N94" si="23">IF(AND(C91=1,C92=1),1,0)</f>
        <v>1</v>
      </c>
      <c r="D94" s="39">
        <f t="shared" si="23"/>
        <v>1</v>
      </c>
      <c r="E94" s="39">
        <f t="shared" si="23"/>
        <v>1</v>
      </c>
      <c r="F94" s="39">
        <f t="shared" si="23"/>
        <v>1</v>
      </c>
      <c r="G94" s="39">
        <f t="shared" si="23"/>
        <v>1</v>
      </c>
      <c r="H94" s="39">
        <f t="shared" si="23"/>
        <v>1</v>
      </c>
      <c r="I94" s="39">
        <f t="shared" si="23"/>
        <v>1</v>
      </c>
      <c r="J94" s="39">
        <f t="shared" si="23"/>
        <v>1</v>
      </c>
      <c r="K94" s="39">
        <f t="shared" si="23"/>
        <v>1</v>
      </c>
      <c r="L94" s="39">
        <f t="shared" si="23"/>
        <v>1</v>
      </c>
      <c r="M94" s="39">
        <f t="shared" si="23"/>
        <v>1</v>
      </c>
      <c r="N94" s="39">
        <f t="shared" si="23"/>
        <v>1</v>
      </c>
    </row>
    <row r="95" spans="2:14" x14ac:dyDescent="0.35">
      <c r="B95" s="38" t="s">
        <v>154</v>
      </c>
      <c r="C95" s="39">
        <f t="shared" ref="C95:N95" si="24">IF(AND(C91=1,C92=1,C93=1),1,0)</f>
        <v>1</v>
      </c>
      <c r="D95" s="39">
        <f t="shared" si="24"/>
        <v>1</v>
      </c>
      <c r="E95" s="39">
        <f t="shared" si="24"/>
        <v>1</v>
      </c>
      <c r="F95" s="39">
        <f t="shared" si="24"/>
        <v>1</v>
      </c>
      <c r="G95" s="39">
        <f t="shared" si="24"/>
        <v>1</v>
      </c>
      <c r="H95" s="39">
        <f t="shared" si="24"/>
        <v>1</v>
      </c>
      <c r="I95" s="39">
        <f t="shared" si="24"/>
        <v>1</v>
      </c>
      <c r="J95" s="39">
        <f t="shared" si="24"/>
        <v>1</v>
      </c>
      <c r="K95" s="39">
        <f t="shared" si="24"/>
        <v>1</v>
      </c>
      <c r="L95" s="39">
        <f t="shared" si="24"/>
        <v>1</v>
      </c>
      <c r="M95" s="39">
        <f t="shared" si="24"/>
        <v>1</v>
      </c>
      <c r="N95" s="39">
        <f t="shared" si="24"/>
        <v>1</v>
      </c>
    </row>
    <row r="96" spans="2:14" x14ac:dyDescent="0.35">
      <c r="B96" s="38" t="s">
        <v>155</v>
      </c>
      <c r="C96" s="39">
        <f t="shared" ref="C96:N96" si="25">IF(COUNT(C61:C65)=5,1,0)</f>
        <v>1</v>
      </c>
      <c r="D96" s="39">
        <f t="shared" si="25"/>
        <v>1</v>
      </c>
      <c r="E96" s="39">
        <f t="shared" si="25"/>
        <v>1</v>
      </c>
      <c r="F96" s="39">
        <f t="shared" si="25"/>
        <v>1</v>
      </c>
      <c r="G96" s="39">
        <f t="shared" si="25"/>
        <v>1</v>
      </c>
      <c r="H96" s="39">
        <f t="shared" si="25"/>
        <v>1</v>
      </c>
      <c r="I96" s="39">
        <f t="shared" si="25"/>
        <v>1</v>
      </c>
      <c r="J96" s="39">
        <f t="shared" si="25"/>
        <v>1</v>
      </c>
      <c r="K96" s="39">
        <f t="shared" si="25"/>
        <v>1</v>
      </c>
      <c r="L96" s="39">
        <f t="shared" si="25"/>
        <v>1</v>
      </c>
      <c r="M96" s="39">
        <f t="shared" si="25"/>
        <v>1</v>
      </c>
      <c r="N96" s="39">
        <f t="shared" si="25"/>
        <v>1</v>
      </c>
    </row>
    <row r="97" spans="2:14" x14ac:dyDescent="0.35">
      <c r="B97" s="38" t="s">
        <v>156</v>
      </c>
      <c r="C97" s="39">
        <f t="shared" ref="C97:N97" si="26">IF(UPPER(TRIM(C14&amp;""))="YES",1,0)</f>
        <v>1</v>
      </c>
      <c r="D97" s="39">
        <f t="shared" si="26"/>
        <v>1</v>
      </c>
      <c r="E97" s="39">
        <f t="shared" si="26"/>
        <v>1</v>
      </c>
      <c r="F97" s="39">
        <f t="shared" si="26"/>
        <v>1</v>
      </c>
      <c r="G97" s="39">
        <f t="shared" si="26"/>
        <v>1</v>
      </c>
      <c r="H97" s="39">
        <f t="shared" si="26"/>
        <v>1</v>
      </c>
      <c r="I97" s="39">
        <f t="shared" si="26"/>
        <v>1</v>
      </c>
      <c r="J97" s="39">
        <f t="shared" si="26"/>
        <v>1</v>
      </c>
      <c r="K97" s="39">
        <f t="shared" si="26"/>
        <v>1</v>
      </c>
      <c r="L97" s="39">
        <f t="shared" si="26"/>
        <v>1</v>
      </c>
      <c r="M97" s="39">
        <f t="shared" si="26"/>
        <v>1</v>
      </c>
      <c r="N97" s="39">
        <f t="shared" si="26"/>
        <v>1</v>
      </c>
    </row>
    <row r="100" spans="2:14" x14ac:dyDescent="0.35">
      <c r="B100" s="38" t="s">
        <v>157</v>
      </c>
      <c r="C100" s="39">
        <f>IF(NOT(ISNUMBER($C$10)),0,IF(AND($C$10&gt;=1,$C$10&lt;=12,$C$10=INT($C$10)),1,0))</f>
        <v>1</v>
      </c>
    </row>
    <row r="101" spans="2:14" x14ac:dyDescent="0.35">
      <c r="B101" s="38" t="s">
        <v>158</v>
      </c>
      <c r="C101" s="39">
        <f>IF($C$100=0,0,INDEX($C$97:$N$97,$C$10))</f>
        <v>1</v>
      </c>
    </row>
    <row r="102" spans="2:14" x14ac:dyDescent="0.35">
      <c r="B102" s="38" t="s">
        <v>159</v>
      </c>
      <c r="C102" s="39">
        <f>IF($C$100=0,0,IF($C$10&lt;=1,0,INDEX($C$97:$N$97,$C$10-1)))</f>
        <v>1</v>
      </c>
    </row>
    <row r="103" spans="2:14" x14ac:dyDescent="0.35">
      <c r="B103" s="38" t="s">
        <v>160</v>
      </c>
      <c r="C103" s="39">
        <f>SUMPRODUCT(($C$104:$N$104=1)*($C$97:$N$97=0))</f>
        <v>0</v>
      </c>
    </row>
    <row r="104" spans="2:14" x14ac:dyDescent="0.35">
      <c r="B104" s="38" t="s">
        <v>161</v>
      </c>
      <c r="C104" s="39">
        <f t="shared" ref="C104:N104" si="27">IF(COUNT(C22,C33,C34,C49,C50,C61)&gt;0,1,0)</f>
        <v>1</v>
      </c>
      <c r="D104" s="39">
        <f t="shared" si="27"/>
        <v>1</v>
      </c>
      <c r="E104" s="39">
        <f t="shared" si="27"/>
        <v>1</v>
      </c>
      <c r="F104" s="39">
        <f t="shared" si="27"/>
        <v>1</v>
      </c>
      <c r="G104" s="39">
        <f t="shared" si="27"/>
        <v>1</v>
      </c>
      <c r="H104" s="39">
        <f t="shared" si="27"/>
        <v>1</v>
      </c>
      <c r="I104" s="39">
        <f t="shared" si="27"/>
        <v>1</v>
      </c>
      <c r="J104" s="39">
        <f t="shared" si="27"/>
        <v>1</v>
      </c>
      <c r="K104" s="39">
        <f t="shared" si="27"/>
        <v>1</v>
      </c>
      <c r="L104" s="39">
        <f t="shared" si="27"/>
        <v>1</v>
      </c>
      <c r="M104" s="39">
        <f t="shared" si="27"/>
        <v>1</v>
      </c>
      <c r="N104" s="39">
        <f t="shared" si="27"/>
        <v>1</v>
      </c>
    </row>
    <row r="105" spans="2:14" x14ac:dyDescent="0.35">
      <c r="B105" s="38" t="s">
        <v>162</v>
      </c>
      <c r="C105" s="39">
        <f t="shared" ref="C105:N105" si="28">IF(COUNT(C61,C62,C63,C64,C65)&gt;0,1,0)</f>
        <v>1</v>
      </c>
      <c r="D105" s="39">
        <f t="shared" si="28"/>
        <v>1</v>
      </c>
      <c r="E105" s="39">
        <f t="shared" si="28"/>
        <v>1</v>
      </c>
      <c r="F105" s="39">
        <f t="shared" si="28"/>
        <v>1</v>
      </c>
      <c r="G105" s="39">
        <f t="shared" si="28"/>
        <v>1</v>
      </c>
      <c r="H105" s="39">
        <f t="shared" si="28"/>
        <v>1</v>
      </c>
      <c r="I105" s="39">
        <f t="shared" si="28"/>
        <v>1</v>
      </c>
      <c r="J105" s="39">
        <f t="shared" si="28"/>
        <v>1</v>
      </c>
      <c r="K105" s="39">
        <f t="shared" si="28"/>
        <v>1</v>
      </c>
      <c r="L105" s="39">
        <f t="shared" si="28"/>
        <v>1</v>
      </c>
      <c r="M105" s="39">
        <f t="shared" si="28"/>
        <v>1</v>
      </c>
      <c r="N105" s="39">
        <f t="shared" si="28"/>
        <v>1</v>
      </c>
    </row>
    <row r="106" spans="2:14" x14ac:dyDescent="0.35">
      <c r="B106" s="38" t="s">
        <v>163</v>
      </c>
      <c r="C106" s="39">
        <f t="shared" ref="C106:N106" si="29">IF(COUNT(C22,C33)&gt;0,1,0)</f>
        <v>1</v>
      </c>
      <c r="D106" s="39">
        <f t="shared" si="29"/>
        <v>1</v>
      </c>
      <c r="E106" s="39">
        <f t="shared" si="29"/>
        <v>1</v>
      </c>
      <c r="F106" s="39">
        <f t="shared" si="29"/>
        <v>1</v>
      </c>
      <c r="G106" s="39">
        <f t="shared" si="29"/>
        <v>1</v>
      </c>
      <c r="H106" s="39">
        <f t="shared" si="29"/>
        <v>1</v>
      </c>
      <c r="I106" s="39">
        <f t="shared" si="29"/>
        <v>1</v>
      </c>
      <c r="J106" s="39">
        <f t="shared" si="29"/>
        <v>1</v>
      </c>
      <c r="K106" s="39">
        <f t="shared" si="29"/>
        <v>1</v>
      </c>
      <c r="L106" s="39">
        <f t="shared" si="29"/>
        <v>1</v>
      </c>
      <c r="M106" s="39">
        <f t="shared" si="29"/>
        <v>1</v>
      </c>
      <c r="N106" s="39">
        <f t="shared" si="29"/>
        <v>1</v>
      </c>
    </row>
    <row r="107" spans="2:14" x14ac:dyDescent="0.35">
      <c r="B107" s="38" t="s">
        <v>164</v>
      </c>
      <c r="C107" s="39">
        <f t="shared" ref="C107:N107" si="30">IF(COUNT(C34,C50)&gt;0,1,0)</f>
        <v>1</v>
      </c>
      <c r="D107" s="39">
        <f t="shared" si="30"/>
        <v>1</v>
      </c>
      <c r="E107" s="39">
        <f t="shared" si="30"/>
        <v>1</v>
      </c>
      <c r="F107" s="39">
        <f t="shared" si="30"/>
        <v>1</v>
      </c>
      <c r="G107" s="39">
        <f t="shared" si="30"/>
        <v>1</v>
      </c>
      <c r="H107" s="39">
        <f t="shared" si="30"/>
        <v>1</v>
      </c>
      <c r="I107" s="39">
        <f t="shared" si="30"/>
        <v>1</v>
      </c>
      <c r="J107" s="39">
        <f t="shared" si="30"/>
        <v>1</v>
      </c>
      <c r="K107" s="39">
        <f t="shared" si="30"/>
        <v>1</v>
      </c>
      <c r="L107" s="39">
        <f t="shared" si="30"/>
        <v>1</v>
      </c>
      <c r="M107" s="39">
        <f t="shared" si="30"/>
        <v>1</v>
      </c>
      <c r="N107" s="39">
        <f t="shared" si="30"/>
        <v>1</v>
      </c>
    </row>
    <row r="108" spans="2:14" x14ac:dyDescent="0.35">
      <c r="B108" s="38" t="s">
        <v>165</v>
      </c>
      <c r="C108" s="39">
        <f>SUMPRODUCT(($C$105:$N$105=1)*($C$97:$N$97=0))</f>
        <v>0</v>
      </c>
    </row>
    <row r="109" spans="2:14" x14ac:dyDescent="0.35">
      <c r="B109" s="38" t="s">
        <v>166</v>
      </c>
      <c r="C109" s="39">
        <f>SUMPRODUCT(($C$106:$N$106=1)*($C$97:$N$97=0))</f>
        <v>0</v>
      </c>
    </row>
    <row r="110" spans="2:14" x14ac:dyDescent="0.35">
      <c r="B110" s="38" t="s">
        <v>167</v>
      </c>
      <c r="C110" s="39">
        <f>SUMPRODUCT(($C$107:$N$107=1)*($C$97:$N$97=0))</f>
        <v>0</v>
      </c>
    </row>
    <row r="111" spans="2:14" x14ac:dyDescent="0.35">
      <c r="B111" s="38" t="s">
        <v>168</v>
      </c>
      <c r="C111" s="39">
        <f>IF($C$100=0,0,IF($C$10&lt;=1,0,IF($C$102=1,0,1)))</f>
        <v>0</v>
      </c>
    </row>
  </sheetData>
  <sheetProtection sheet="1" formatCells="0" formatColumns="0" formatRows="0"/>
  <mergeCells count="25">
    <mergeCell ref="B68:N68"/>
    <mergeCell ref="B77:N77"/>
    <mergeCell ref="B79:N79"/>
    <mergeCell ref="B86:N86"/>
    <mergeCell ref="B87:N87"/>
    <mergeCell ref="B51:N51"/>
    <mergeCell ref="B53:N53"/>
    <mergeCell ref="B57:N57"/>
    <mergeCell ref="B59:N59"/>
    <mergeCell ref="B66:N66"/>
    <mergeCell ref="B15:N15"/>
    <mergeCell ref="B17:N17"/>
    <mergeCell ref="B24:N24"/>
    <mergeCell ref="B35:N35"/>
    <mergeCell ref="B37:N37"/>
    <mergeCell ref="B7:N7"/>
    <mergeCell ref="C8:F8"/>
    <mergeCell ref="C9:F9"/>
    <mergeCell ref="D10:N10"/>
    <mergeCell ref="B12:N12"/>
    <mergeCell ref="A1:N1"/>
    <mergeCell ref="A2:F2"/>
    <mergeCell ref="G2:N2"/>
    <mergeCell ref="A3:N3"/>
    <mergeCell ref="B5:N5"/>
  </mergeCells>
  <dataValidations count="1">
    <dataValidation type="whole" allowBlank="1" showInputMessage="1" showErrorMessage="1" errorTitle="Reporting Month" error="Enter a whole number from 1 to 12." promptTitle="Reporting Month" prompt="Whole number from 1 to 12." sqref="C10" xr:uid="{00000000-0002-0000-0100-000000000000}">
      <formula1>1</formula1>
      <formula2>12</formula2>
    </dataValidation>
  </dataValidations>
  <pageMargins left="0.3" right="0.3" top="0.35" bottom="0.3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67"/>
  <sheetViews>
    <sheetView showGridLines="0" zoomScaleNormal="100" workbookViewId="0">
      <selection activeCell="A3" sqref="A3:P3"/>
    </sheetView>
  </sheetViews>
  <sheetFormatPr defaultColWidth="8.6328125" defaultRowHeight="14.5" x14ac:dyDescent="0.35"/>
  <cols>
    <col min="1" max="1" width="2.453125" customWidth="1"/>
    <col min="2" max="2" width="26" customWidth="1"/>
    <col min="3" max="3" width="13" customWidth="1"/>
    <col min="4" max="16" width="12.1796875" customWidth="1"/>
    <col min="17" max="17" width="2.453125" customWidth="1"/>
  </cols>
  <sheetData>
    <row r="1" spans="1:27" ht="13.5" customHeight="1" x14ac:dyDescent="0.35">
      <c r="A1" s="14" t="s">
        <v>0</v>
      </c>
      <c r="B1" s="14"/>
      <c r="C1" s="14"/>
      <c r="D1" s="14"/>
      <c r="E1" s="14"/>
      <c r="F1" s="14"/>
      <c r="G1" s="14"/>
      <c r="H1" s="14"/>
      <c r="I1" s="14"/>
      <c r="J1" s="14"/>
      <c r="K1" s="14"/>
      <c r="L1" s="14"/>
      <c r="M1" s="14"/>
      <c r="N1" s="14"/>
      <c r="O1" s="14"/>
      <c r="P1" s="14"/>
    </row>
    <row r="2" spans="1:27" ht="25.5" customHeight="1" x14ac:dyDescent="0.35">
      <c r="A2" s="13" t="s">
        <v>169</v>
      </c>
      <c r="B2" s="13"/>
      <c r="C2" s="13"/>
      <c r="D2" s="13"/>
      <c r="E2" s="13"/>
      <c r="F2" s="13"/>
      <c r="G2" s="13"/>
      <c r="H2" s="3" t="s">
        <v>67</v>
      </c>
      <c r="I2" s="3"/>
      <c r="J2" s="3"/>
      <c r="K2" s="3"/>
      <c r="L2" s="3"/>
      <c r="M2" s="3"/>
      <c r="N2" s="3"/>
      <c r="O2" s="3"/>
      <c r="P2" s="3"/>
    </row>
    <row r="3" spans="1:27" ht="15.75" customHeight="1" x14ac:dyDescent="0.35">
      <c r="A3" s="12" t="s">
        <v>170</v>
      </c>
      <c r="B3" s="12"/>
      <c r="C3" s="12"/>
      <c r="D3" s="12"/>
      <c r="E3" s="12"/>
      <c r="F3" s="12"/>
      <c r="G3" s="12"/>
      <c r="H3" s="12"/>
      <c r="I3" s="12"/>
      <c r="J3" s="12"/>
      <c r="K3" s="12"/>
      <c r="L3" s="12"/>
      <c r="M3" s="12"/>
      <c r="N3" s="12"/>
      <c r="O3" s="12"/>
      <c r="P3" s="12"/>
    </row>
    <row r="4" spans="1:27" ht="7.5" customHeight="1" x14ac:dyDescent="0.35"/>
    <row r="5" spans="1:27" ht="30" customHeight="1" x14ac:dyDescent="0.35">
      <c r="B5" s="2" t="s">
        <v>171</v>
      </c>
      <c r="C5" s="2"/>
      <c r="D5" s="2"/>
      <c r="E5" s="2"/>
      <c r="F5" s="2"/>
      <c r="G5" s="2"/>
      <c r="H5" s="2"/>
      <c r="I5" s="2"/>
      <c r="J5" s="2"/>
      <c r="K5" s="2"/>
      <c r="L5" s="2"/>
      <c r="M5" s="2"/>
      <c r="N5" s="2"/>
      <c r="O5" s="2"/>
      <c r="P5" s="2"/>
    </row>
    <row r="6" spans="1:27" ht="7.5" customHeight="1" x14ac:dyDescent="0.35"/>
    <row r="7" spans="1:27" ht="18.75" customHeight="1" x14ac:dyDescent="0.35">
      <c r="B7" s="1" t="s">
        <v>172</v>
      </c>
      <c r="C7" s="1"/>
      <c r="D7" s="1"/>
      <c r="E7" s="1"/>
      <c r="F7" s="1"/>
      <c r="G7" s="1"/>
      <c r="H7" s="1"/>
      <c r="I7" s="1"/>
      <c r="J7" s="1"/>
      <c r="K7" s="1"/>
      <c r="L7" s="1"/>
      <c r="M7" s="1"/>
      <c r="N7" s="1"/>
      <c r="O7" s="1"/>
      <c r="P7" s="1"/>
    </row>
    <row r="8" spans="1:27" ht="15" customHeight="1" x14ac:dyDescent="0.35">
      <c r="D8" s="101" t="s">
        <v>173</v>
      </c>
      <c r="E8" s="101"/>
      <c r="F8" s="101"/>
      <c r="G8" s="101" t="s">
        <v>174</v>
      </c>
      <c r="H8" s="101"/>
      <c r="I8" s="101"/>
      <c r="J8" s="101"/>
      <c r="K8" s="101"/>
      <c r="L8" s="101" t="s">
        <v>175</v>
      </c>
      <c r="M8" s="101"/>
      <c r="N8" s="101"/>
      <c r="O8" s="101"/>
      <c r="P8" s="101"/>
      <c r="T8" s="38" t="s">
        <v>176</v>
      </c>
    </row>
    <row r="9" spans="1:27" ht="31.5" customHeight="1" x14ac:dyDescent="0.35">
      <c r="B9" s="40" t="s">
        <v>177</v>
      </c>
      <c r="C9" s="40" t="s">
        <v>178</v>
      </c>
      <c r="D9" s="41" t="s">
        <v>179</v>
      </c>
      <c r="E9" s="41" t="s">
        <v>136</v>
      </c>
      <c r="F9" s="41" t="s">
        <v>180</v>
      </c>
      <c r="G9" s="41" t="s">
        <v>181</v>
      </c>
      <c r="H9" s="41" t="s">
        <v>182</v>
      </c>
      <c r="I9" s="41" t="s">
        <v>183</v>
      </c>
      <c r="J9" s="41" t="s">
        <v>184</v>
      </c>
      <c r="K9" s="41" t="s">
        <v>185</v>
      </c>
      <c r="L9" s="41" t="s">
        <v>186</v>
      </c>
      <c r="M9" s="41" t="s">
        <v>187</v>
      </c>
      <c r="N9" s="41" t="s">
        <v>188</v>
      </c>
      <c r="O9" s="41" t="s">
        <v>189</v>
      </c>
      <c r="P9" s="41" t="s">
        <v>190</v>
      </c>
      <c r="S9" s="38" t="s">
        <v>191</v>
      </c>
      <c r="T9" s="39">
        <f>IF(COUNTIF($S$10:$S$19,2)&gt;0,1,0)</f>
        <v>0</v>
      </c>
      <c r="U9" s="38" t="s">
        <v>192</v>
      </c>
    </row>
    <row r="10" spans="1:27" ht="16.5" customHeight="1" x14ac:dyDescent="0.35">
      <c r="B10" s="42" t="s">
        <v>193</v>
      </c>
      <c r="C10" s="42" t="s">
        <v>194</v>
      </c>
      <c r="D10" s="28">
        <v>485000</v>
      </c>
      <c r="E10" s="28">
        <v>32000</v>
      </c>
      <c r="F10" s="43">
        <f t="shared" ref="F10:F19" si="0">IF(AND(ISNUMBER(D10),ISNUMBER(E10)),D10+E10,"")</f>
        <v>517000</v>
      </c>
      <c r="G10" s="28">
        <v>112000</v>
      </c>
      <c r="H10" s="28">
        <v>148000</v>
      </c>
      <c r="I10" s="28">
        <v>122000</v>
      </c>
      <c r="J10" s="28">
        <v>16000</v>
      </c>
      <c r="K10" s="43">
        <f t="shared" ref="K10:K19" si="1">IF(COUNT(G10:J10)=4,SUM(G10:J10),"")</f>
        <v>398000</v>
      </c>
      <c r="L10" s="28">
        <v>118500</v>
      </c>
      <c r="M10" s="28">
        <v>151000</v>
      </c>
      <c r="N10" s="28">
        <v>131000</v>
      </c>
      <c r="O10" s="28">
        <v>17500</v>
      </c>
      <c r="P10" s="43">
        <f t="shared" ref="P10:P19" si="2">IF(COUNT(L10:O10)=4,SUM(L10:O10),"")</f>
        <v>418000</v>
      </c>
      <c r="S10" s="39">
        <f t="shared" ref="S10:S19" si="3">IF(AND(COUNT(D10:E10,G10:J10,L10:O10)=10,B10&lt;&gt;"",OR(C10="Complete",C10="In Progress")),1,IF(AND(COUNT(D10:E10,G10:J10,L10:O10)=0,B10="",C10=""),0,2))</f>
        <v>1</v>
      </c>
      <c r="T10" s="39">
        <f>COUNTIF($S$10:$S$19,1)</f>
        <v>6</v>
      </c>
      <c r="U10" s="39">
        <f>IF(AND($S$10=1,$C$10="Complete"),1,0)</f>
        <v>1</v>
      </c>
      <c r="V10" s="44">
        <f>IF($T$9=1,"",IF($S$10=1,$F$10-ROW()/1000000,""))</f>
        <v>516999.99998999998</v>
      </c>
      <c r="W10" s="44">
        <f>IF($T$9=1,"",IF($U$10=1,$P$10-$K$10-ROW()/1000000,""))</f>
        <v>19999.99999</v>
      </c>
      <c r="X10" s="45">
        <f>IF($T$9=1,"",IF(AND($U$10=1,$F$10&lt;&gt;0),($K$10-$P$10)/$F$10-ROW()/10000000,""))</f>
        <v>-3.8685719535783369E-2</v>
      </c>
      <c r="Y10" s="46" t="str">
        <f>IF($T$9=1,"",IF(AND($U$10=1,$F$10&lt;&gt;0),IF($B$10="","(unnamed job)",$B$10),""))</f>
        <v>Harbourview Retail Fit-Out</v>
      </c>
      <c r="Z10" s="47">
        <f>IF($T$9=1,"",IF(AND($U$10=1,$F$10&lt;&gt;0),($F$10-$K$10)/$F$10,""))</f>
        <v>0.23017408123791103</v>
      </c>
      <c r="AA10" s="47">
        <f>IF($T$9=1,"",IF(AND($U$10=1,$F$10&lt;&gt;0),($F$10-$P$10)/$F$10,""))</f>
        <v>0.19148936170212766</v>
      </c>
    </row>
    <row r="11" spans="1:27" ht="16.5" customHeight="1" x14ac:dyDescent="0.35">
      <c r="B11" s="42" t="s">
        <v>195</v>
      </c>
      <c r="C11" s="42" t="s">
        <v>194</v>
      </c>
      <c r="D11" s="28">
        <v>862000</v>
      </c>
      <c r="E11" s="28">
        <v>48500</v>
      </c>
      <c r="F11" s="43">
        <f t="shared" si="0"/>
        <v>910500</v>
      </c>
      <c r="G11" s="28">
        <v>196000</v>
      </c>
      <c r="H11" s="28">
        <v>268000</v>
      </c>
      <c r="I11" s="28">
        <v>214000</v>
      </c>
      <c r="J11" s="28">
        <v>28000</v>
      </c>
      <c r="K11" s="43">
        <f t="shared" si="1"/>
        <v>706000</v>
      </c>
      <c r="L11" s="28">
        <v>188000</v>
      </c>
      <c r="M11" s="28">
        <v>259500</v>
      </c>
      <c r="N11" s="28">
        <v>206000</v>
      </c>
      <c r="O11" s="28">
        <v>25500</v>
      </c>
      <c r="P11" s="43">
        <f t="shared" si="2"/>
        <v>679000</v>
      </c>
      <c r="S11" s="39">
        <f t="shared" si="3"/>
        <v>1</v>
      </c>
      <c r="T11" s="39">
        <f>SUM($U$10:$U$19)</f>
        <v>4</v>
      </c>
      <c r="U11" s="39">
        <f>IF(AND($S$11=1,$C$11="Complete"),1,0)</f>
        <v>1</v>
      </c>
      <c r="V11" s="44">
        <f>IF($T$9=1,"",IF($S$11=1,$F$11-ROW()/1000000,""))</f>
        <v>910499.99998900003</v>
      </c>
      <c r="W11" s="44">
        <f>IF($T$9=1,"",IF($U$11=1,$P$11-$K$11-ROW()/1000000,""))</f>
        <v>-27000.000011</v>
      </c>
      <c r="X11" s="45">
        <f>IF($T$9=1,"",IF(AND($U$11=1,$F$11&lt;&gt;0),($K$11-$P$11)/$F$11-ROW()/10000000,""))</f>
        <v>2.9652936243822075E-2</v>
      </c>
      <c r="Y11" s="46" t="str">
        <f>IF($T$9=1,"",IF(AND($U$11=1,$F$11&lt;&gt;0),IF($B$11="","(unnamed job)",$B$11),""))</f>
        <v>Cedar Ridge Multi-Unit Renovation</v>
      </c>
      <c r="Z11" s="47">
        <f>IF($T$9=1,"",IF(AND($U$11=1,$F$11&lt;&gt;0),($F$11-$K$11)/$F$11,""))</f>
        <v>0.22460186710598573</v>
      </c>
      <c r="AA11" s="47">
        <f>IF($T$9=1,"",IF(AND($U$11=1,$F$11&lt;&gt;0),($F$11-$P$11)/$F$11,""))</f>
        <v>0.2542559033498078</v>
      </c>
    </row>
    <row r="12" spans="1:27" ht="16.5" customHeight="1" x14ac:dyDescent="0.35">
      <c r="B12" s="42" t="s">
        <v>196</v>
      </c>
      <c r="C12" s="42" t="s">
        <v>197</v>
      </c>
      <c r="D12" s="28">
        <v>1240000</v>
      </c>
      <c r="E12" s="28">
        <v>76000</v>
      </c>
      <c r="F12" s="43">
        <f t="shared" si="0"/>
        <v>1316000</v>
      </c>
      <c r="G12" s="28">
        <v>284000</v>
      </c>
      <c r="H12" s="28">
        <v>392000</v>
      </c>
      <c r="I12" s="28">
        <v>306000</v>
      </c>
      <c r="J12" s="28">
        <v>42000</v>
      </c>
      <c r="K12" s="43">
        <f t="shared" si="1"/>
        <v>1024000</v>
      </c>
      <c r="L12" s="28">
        <v>231000</v>
      </c>
      <c r="M12" s="28">
        <v>318000</v>
      </c>
      <c r="N12" s="28">
        <v>268000</v>
      </c>
      <c r="O12" s="28">
        <v>34500</v>
      </c>
      <c r="P12" s="43">
        <f t="shared" si="2"/>
        <v>851500</v>
      </c>
      <c r="S12" s="39">
        <f t="shared" si="3"/>
        <v>1</v>
      </c>
      <c r="U12" s="39">
        <f>IF(AND($S$12=1,$C$12="Complete"),1,0)</f>
        <v>0</v>
      </c>
      <c r="V12" s="44">
        <f>IF($T$9=1,"",IF($S$12=1,$F$12-ROW()/1000000,""))</f>
        <v>1315999.9999879999</v>
      </c>
      <c r="W12" s="44" t="str">
        <f>IF($T$9=1,"",IF($U$12=1,$P$12-$K$12-ROW()/1000000,""))</f>
        <v/>
      </c>
      <c r="X12" s="45" t="str">
        <f>IF($T$9=1,"",IF(AND($U$12=1,$F$12&lt;&gt;0),($K$12-$P$12)/$F$12-ROW()/10000000,""))</f>
        <v/>
      </c>
      <c r="Y12" s="46" t="str">
        <f>IF($T$9=1,"",IF(AND($U$12=1,$F$12&lt;&gt;0),IF($B$12="","(unnamed job)",$B$12),""))</f>
        <v/>
      </c>
      <c r="Z12" s="47" t="str">
        <f>IF($T$9=1,"",IF(AND($U$12=1,$F$12&lt;&gt;0),($F$12-$K$12)/$F$12,""))</f>
        <v/>
      </c>
      <c r="AA12" s="47" t="str">
        <f>IF($T$9=1,"",IF(AND($U$12=1,$F$12&lt;&gt;0),($F$12-$P$12)/$F$12,""))</f>
        <v/>
      </c>
    </row>
    <row r="13" spans="1:27" ht="16.5" customHeight="1" x14ac:dyDescent="0.35">
      <c r="B13" s="42" t="s">
        <v>198</v>
      </c>
      <c r="C13" s="42" t="s">
        <v>194</v>
      </c>
      <c r="D13" s="28">
        <v>168000</v>
      </c>
      <c r="E13" s="28">
        <v>0</v>
      </c>
      <c r="F13" s="43">
        <f t="shared" si="0"/>
        <v>168000</v>
      </c>
      <c r="G13" s="28">
        <v>42000</v>
      </c>
      <c r="H13" s="28">
        <v>38000</v>
      </c>
      <c r="I13" s="28">
        <v>46000</v>
      </c>
      <c r="J13" s="28">
        <v>6500</v>
      </c>
      <c r="K13" s="43">
        <f t="shared" si="1"/>
        <v>132500</v>
      </c>
      <c r="L13" s="28">
        <v>44800</v>
      </c>
      <c r="M13" s="28">
        <v>41500</v>
      </c>
      <c r="N13" s="28">
        <v>49200</v>
      </c>
      <c r="O13" s="28">
        <v>7200</v>
      </c>
      <c r="P13" s="43">
        <f t="shared" si="2"/>
        <v>142700</v>
      </c>
      <c r="S13" s="39">
        <f t="shared" si="3"/>
        <v>1</v>
      </c>
      <c r="U13" s="39">
        <f>IF(AND($S$13=1,$C$13="Complete"),1,0)</f>
        <v>1</v>
      </c>
      <c r="V13" s="44">
        <f>IF($T$9=1,"",IF($S$13=1,$F$13-ROW()/1000000,""))</f>
        <v>167999.99998699999</v>
      </c>
      <c r="W13" s="44">
        <f>IF($T$9=1,"",IF($U$13=1,$P$13-$K$13-ROW()/1000000,""))</f>
        <v>10199.999986999999</v>
      </c>
      <c r="X13" s="45">
        <f>IF($T$9=1,"",IF(AND($U$13=1,$F$13&lt;&gt;0),($K$13-$P$13)/$F$13-ROW()/10000000,""))</f>
        <v>-6.0715585714285716E-2</v>
      </c>
      <c r="Y13" s="46" t="str">
        <f>IF($T$9=1,"",IF(AND($U$13=1,$F$13&lt;&gt;0),IF($B$13="","(unnamed job)",$B$13),""))</f>
        <v>Northgate Roof Replacement</v>
      </c>
      <c r="Z13" s="47">
        <f>IF($T$9=1,"",IF(AND($U$13=1,$F$13&lt;&gt;0),($F$13-$K$13)/$F$13,""))</f>
        <v>0.21130952380952381</v>
      </c>
      <c r="AA13" s="47">
        <f>IF($T$9=1,"",IF(AND($U$13=1,$F$13&lt;&gt;0),($F$13-$P$13)/$F$13,""))</f>
        <v>0.15059523809523809</v>
      </c>
    </row>
    <row r="14" spans="1:27" ht="16.5" customHeight="1" x14ac:dyDescent="0.35">
      <c r="B14" s="42" t="s">
        <v>199</v>
      </c>
      <c r="C14" s="42" t="s">
        <v>194</v>
      </c>
      <c r="D14" s="28">
        <v>342000</v>
      </c>
      <c r="E14" s="28">
        <v>18900</v>
      </c>
      <c r="F14" s="43">
        <f t="shared" si="0"/>
        <v>360900</v>
      </c>
      <c r="G14" s="28">
        <v>78000</v>
      </c>
      <c r="H14" s="28">
        <v>96000</v>
      </c>
      <c r="I14" s="28">
        <v>82000</v>
      </c>
      <c r="J14" s="28">
        <v>11000</v>
      </c>
      <c r="K14" s="43">
        <f t="shared" si="1"/>
        <v>267000</v>
      </c>
      <c r="L14" s="28">
        <v>74500</v>
      </c>
      <c r="M14" s="28">
        <v>91000</v>
      </c>
      <c r="N14" s="28">
        <v>79500</v>
      </c>
      <c r="O14" s="28">
        <v>9800</v>
      </c>
      <c r="P14" s="43">
        <f t="shared" si="2"/>
        <v>254800</v>
      </c>
      <c r="S14" s="39">
        <f t="shared" si="3"/>
        <v>1</v>
      </c>
      <c r="U14" s="39">
        <f>IF(AND($S$14=1,$C$14="Complete"),1,0)</f>
        <v>1</v>
      </c>
      <c r="V14" s="44">
        <f>IF($T$9=1,"",IF($S$14=1,$F$14-ROW()/1000000,""))</f>
        <v>360899.99998600001</v>
      </c>
      <c r="W14" s="44">
        <f>IF($T$9=1,"",IF($U$14=1,$P$14-$K$14-ROW()/1000000,""))</f>
        <v>-12200.000013999999</v>
      </c>
      <c r="X14" s="45">
        <f>IF($T$9=1,"",IF(AND($U$14=1,$F$14&lt;&gt;0),($K$14-$P$14)/$F$14-ROW()/10000000,""))</f>
        <v>3.3802977944028818E-2</v>
      </c>
      <c r="Y14" s="46" t="str">
        <f>IF($T$9=1,"",IF(AND($U$14=1,$F$14&lt;&gt;0),IF($B$14="","(unnamed job)",$B$14),""))</f>
        <v>Willowbrook Tenant Improvements</v>
      </c>
      <c r="Z14" s="47">
        <f>IF($T$9=1,"",IF(AND($U$14=1,$F$14&lt;&gt;0),($F$14-$K$14)/$F$14,""))</f>
        <v>0.26018287614297592</v>
      </c>
      <c r="AA14" s="47">
        <f>IF($T$9=1,"",IF(AND($U$14=1,$F$14&lt;&gt;0),($F$14-$P$14)/$F$14,""))</f>
        <v>0.29398725408700471</v>
      </c>
    </row>
    <row r="15" spans="1:27" ht="16.5" customHeight="1" x14ac:dyDescent="0.35">
      <c r="B15" s="42" t="s">
        <v>200</v>
      </c>
      <c r="C15" s="42" t="s">
        <v>197</v>
      </c>
      <c r="D15" s="28">
        <v>596000</v>
      </c>
      <c r="E15" s="28">
        <v>0</v>
      </c>
      <c r="F15" s="43">
        <f t="shared" si="0"/>
        <v>596000</v>
      </c>
      <c r="G15" s="28">
        <v>138000</v>
      </c>
      <c r="H15" s="28">
        <v>182000</v>
      </c>
      <c r="I15" s="28">
        <v>148000</v>
      </c>
      <c r="J15" s="28">
        <v>19000</v>
      </c>
      <c r="K15" s="43">
        <f t="shared" si="1"/>
        <v>487000</v>
      </c>
      <c r="L15" s="28">
        <v>96000</v>
      </c>
      <c r="M15" s="28">
        <v>121000</v>
      </c>
      <c r="N15" s="28">
        <v>104000</v>
      </c>
      <c r="O15" s="28">
        <v>12500</v>
      </c>
      <c r="P15" s="43">
        <f t="shared" si="2"/>
        <v>333500</v>
      </c>
      <c r="S15" s="39">
        <f t="shared" si="3"/>
        <v>1</v>
      </c>
      <c r="U15" s="39">
        <f>IF(AND($S$15=1,$C$15="Complete"),1,0)</f>
        <v>0</v>
      </c>
      <c r="V15" s="44">
        <f>IF($T$9=1,"",IF($S$15=1,$F$15-ROW()/1000000,""))</f>
        <v>595999.999985</v>
      </c>
      <c r="W15" s="44" t="str">
        <f>IF($T$9=1,"",IF($U$15=1,$P$15-$K$15-ROW()/1000000,""))</f>
        <v/>
      </c>
      <c r="X15" s="45" t="str">
        <f>IF($T$9=1,"",IF(AND($U$15=1,$F$15&lt;&gt;0),($K$15-$P$15)/$F$15-ROW()/10000000,""))</f>
        <v/>
      </c>
      <c r="Y15" s="46" t="str">
        <f>IF($T$9=1,"",IF(AND($U$15=1,$F$15&lt;&gt;0),IF($B$15="","(unnamed job)",$B$15),""))</f>
        <v/>
      </c>
      <c r="Z15" s="47" t="str">
        <f>IF($T$9=1,"",IF(AND($U$15=1,$F$15&lt;&gt;0),($F$15-$K$15)/$F$15,""))</f>
        <v/>
      </c>
      <c r="AA15" s="47" t="str">
        <f>IF($T$9=1,"",IF(AND($U$15=1,$F$15&lt;&gt;0),($F$15-$P$15)/$F$15,""))</f>
        <v/>
      </c>
    </row>
    <row r="16" spans="1:27" ht="16.5" customHeight="1" x14ac:dyDescent="0.35">
      <c r="B16" s="42"/>
      <c r="C16" s="42"/>
      <c r="D16" s="28"/>
      <c r="E16" s="28"/>
      <c r="F16" s="43" t="str">
        <f t="shared" si="0"/>
        <v/>
      </c>
      <c r="G16" s="28"/>
      <c r="H16" s="28"/>
      <c r="I16" s="28"/>
      <c r="J16" s="28"/>
      <c r="K16" s="43" t="str">
        <f t="shared" si="1"/>
        <v/>
      </c>
      <c r="L16" s="28"/>
      <c r="M16" s="28"/>
      <c r="N16" s="28"/>
      <c r="O16" s="28"/>
      <c r="P16" s="43" t="str">
        <f t="shared" si="2"/>
        <v/>
      </c>
      <c r="S16" s="39">
        <f t="shared" si="3"/>
        <v>0</v>
      </c>
      <c r="U16" s="39">
        <f>IF(AND($S$16=1,$C$16="Complete"),1,0)</f>
        <v>0</v>
      </c>
      <c r="V16" s="44" t="str">
        <f>IF($T$9=1,"",IF($S$16=1,$F$16-ROW()/1000000,""))</f>
        <v/>
      </c>
      <c r="W16" s="44" t="str">
        <f>IF($T$9=1,"",IF($U$16=1,$P$16-$K$16-ROW()/1000000,""))</f>
        <v/>
      </c>
      <c r="X16" s="45" t="str">
        <f>IF($T$9=1,"",IF(AND($U$16=1,$F$16&lt;&gt;0),($K$16-$P$16)/$F$16-ROW()/10000000,""))</f>
        <v/>
      </c>
      <c r="Y16" s="46" t="str">
        <f>IF($T$9=1,"",IF(AND($U$16=1,$F$16&lt;&gt;0),IF($B$16="","(unnamed job)",$B$16),""))</f>
        <v/>
      </c>
      <c r="Z16" s="47" t="str">
        <f>IF($T$9=1,"",IF(AND($U$16=1,$F$16&lt;&gt;0),($F$16-$K$16)/$F$16,""))</f>
        <v/>
      </c>
      <c r="AA16" s="47" t="str">
        <f>IF($T$9=1,"",IF(AND($U$16=1,$F$16&lt;&gt;0),($F$16-$P$16)/$F$16,""))</f>
        <v/>
      </c>
    </row>
    <row r="17" spans="2:27" ht="16.5" customHeight="1" x14ac:dyDescent="0.35">
      <c r="B17" s="42"/>
      <c r="C17" s="42"/>
      <c r="D17" s="28"/>
      <c r="E17" s="28"/>
      <c r="F17" s="43" t="str">
        <f t="shared" si="0"/>
        <v/>
      </c>
      <c r="G17" s="28"/>
      <c r="H17" s="28"/>
      <c r="I17" s="28"/>
      <c r="J17" s="28"/>
      <c r="K17" s="43" t="str">
        <f t="shared" si="1"/>
        <v/>
      </c>
      <c r="L17" s="28"/>
      <c r="M17" s="28"/>
      <c r="N17" s="28"/>
      <c r="O17" s="28"/>
      <c r="P17" s="43" t="str">
        <f t="shared" si="2"/>
        <v/>
      </c>
      <c r="S17" s="39">
        <f t="shared" si="3"/>
        <v>0</v>
      </c>
      <c r="U17" s="39">
        <f>IF(AND($S$17=1,$C$17="Complete"),1,0)</f>
        <v>0</v>
      </c>
      <c r="V17" s="44" t="str">
        <f>IF($T$9=1,"",IF($S$17=1,$F$17-ROW()/1000000,""))</f>
        <v/>
      </c>
      <c r="W17" s="44" t="str">
        <f>IF($T$9=1,"",IF($U$17=1,$P$17-$K$17-ROW()/1000000,""))</f>
        <v/>
      </c>
      <c r="X17" s="45" t="str">
        <f>IF($T$9=1,"",IF(AND($U$17=1,$F$17&lt;&gt;0),($K$17-$P$17)/$F$17-ROW()/10000000,""))</f>
        <v/>
      </c>
      <c r="Y17" s="46" t="str">
        <f>IF($T$9=1,"",IF(AND($U$17=1,$F$17&lt;&gt;0),IF($B$17="","(unnamed job)",$B$17),""))</f>
        <v/>
      </c>
      <c r="Z17" s="47" t="str">
        <f>IF($T$9=1,"",IF(AND($U$17=1,$F$17&lt;&gt;0),($F$17-$K$17)/$F$17,""))</f>
        <v/>
      </c>
      <c r="AA17" s="47" t="str">
        <f>IF($T$9=1,"",IF(AND($U$17=1,$F$17&lt;&gt;0),($F$17-$P$17)/$F$17,""))</f>
        <v/>
      </c>
    </row>
    <row r="18" spans="2:27" ht="16.5" customHeight="1" x14ac:dyDescent="0.35">
      <c r="B18" s="42"/>
      <c r="C18" s="42"/>
      <c r="D18" s="28"/>
      <c r="E18" s="28"/>
      <c r="F18" s="43" t="str">
        <f t="shared" si="0"/>
        <v/>
      </c>
      <c r="G18" s="28"/>
      <c r="H18" s="28"/>
      <c r="I18" s="28"/>
      <c r="J18" s="28"/>
      <c r="K18" s="43" t="str">
        <f t="shared" si="1"/>
        <v/>
      </c>
      <c r="L18" s="28"/>
      <c r="M18" s="28"/>
      <c r="N18" s="28"/>
      <c r="O18" s="28"/>
      <c r="P18" s="43" t="str">
        <f t="shared" si="2"/>
        <v/>
      </c>
      <c r="S18" s="39">
        <f t="shared" si="3"/>
        <v>0</v>
      </c>
      <c r="U18" s="39">
        <f>IF(AND($S$18=1,$C$18="Complete"),1,0)</f>
        <v>0</v>
      </c>
      <c r="V18" s="44" t="str">
        <f>IF($T$9=1,"",IF($S$18=1,$F$18-ROW()/1000000,""))</f>
        <v/>
      </c>
      <c r="W18" s="44" t="str">
        <f>IF($T$9=1,"",IF($U$18=1,$P$18-$K$18-ROW()/1000000,""))</f>
        <v/>
      </c>
      <c r="X18" s="45" t="str">
        <f>IF($T$9=1,"",IF(AND($U$18=1,$F$18&lt;&gt;0),($K$18-$P$18)/$F$18-ROW()/10000000,""))</f>
        <v/>
      </c>
      <c r="Y18" s="46" t="str">
        <f>IF($T$9=1,"",IF(AND($U$18=1,$F$18&lt;&gt;0),IF($B$18="","(unnamed job)",$B$18),""))</f>
        <v/>
      </c>
      <c r="Z18" s="47" t="str">
        <f>IF($T$9=1,"",IF(AND($U$18=1,$F$18&lt;&gt;0),($F$18-$K$18)/$F$18,""))</f>
        <v/>
      </c>
      <c r="AA18" s="47" t="str">
        <f>IF($T$9=1,"",IF(AND($U$18=1,$F$18&lt;&gt;0),($F$18-$P$18)/$F$18,""))</f>
        <v/>
      </c>
    </row>
    <row r="19" spans="2:27" ht="16.5" customHeight="1" x14ac:dyDescent="0.35">
      <c r="B19" s="42"/>
      <c r="C19" s="42"/>
      <c r="D19" s="28"/>
      <c r="E19" s="28"/>
      <c r="F19" s="43" t="str">
        <f t="shared" si="0"/>
        <v/>
      </c>
      <c r="G19" s="28"/>
      <c r="H19" s="28"/>
      <c r="I19" s="28"/>
      <c r="J19" s="28"/>
      <c r="K19" s="43" t="str">
        <f t="shared" si="1"/>
        <v/>
      </c>
      <c r="L19" s="28"/>
      <c r="M19" s="28"/>
      <c r="N19" s="28"/>
      <c r="O19" s="28"/>
      <c r="P19" s="43" t="str">
        <f t="shared" si="2"/>
        <v/>
      </c>
      <c r="S19" s="39">
        <f t="shared" si="3"/>
        <v>0</v>
      </c>
      <c r="U19" s="39">
        <f>IF(AND($S$19=1,$C$19="Complete"),1,0)</f>
        <v>0</v>
      </c>
      <c r="V19" s="44" t="str">
        <f>IF($T$9=1,"",IF($S$19=1,$F$19-ROW()/1000000,""))</f>
        <v/>
      </c>
      <c r="W19" s="44" t="str">
        <f>IF($T$9=1,"",IF($U$19=1,$P$19-$K$19-ROW()/1000000,""))</f>
        <v/>
      </c>
      <c r="X19" s="45" t="str">
        <f>IF($T$9=1,"",IF(AND($U$19=1,$F$19&lt;&gt;0),($K$19-$P$19)/$F$19-ROW()/10000000,""))</f>
        <v/>
      </c>
      <c r="Y19" s="46" t="str">
        <f>IF($T$9=1,"",IF(AND($U$19=1,$F$19&lt;&gt;0),IF($B$19="","(unnamed job)",$B$19),""))</f>
        <v/>
      </c>
      <c r="Z19" s="47" t="str">
        <f>IF($T$9=1,"",IF(AND($U$19=1,$F$19&lt;&gt;0),($F$19-$K$19)/$F$19,""))</f>
        <v/>
      </c>
      <c r="AA19" s="47" t="str">
        <f>IF($T$9=1,"",IF(AND($U$19=1,$F$19&lt;&gt;0),($F$19-$P$19)/$F$19,""))</f>
        <v/>
      </c>
    </row>
    <row r="20" spans="2:27" ht="18" customHeight="1" x14ac:dyDescent="0.35">
      <c r="B20" s="99" t="s">
        <v>201</v>
      </c>
      <c r="C20" s="99"/>
      <c r="D20" s="99"/>
      <c r="E20" s="99"/>
      <c r="F20" s="99"/>
      <c r="G20" s="99"/>
      <c r="H20" s="99"/>
      <c r="I20" s="99"/>
      <c r="J20" s="99"/>
      <c r="K20" s="99"/>
      <c r="L20" s="99"/>
      <c r="M20" s="99"/>
      <c r="N20" s="99"/>
      <c r="O20" s="99"/>
      <c r="P20" s="99"/>
    </row>
    <row r="21" spans="2:27" ht="7.5" customHeight="1" x14ac:dyDescent="0.35"/>
    <row r="22" spans="2:27" ht="18.75" customHeight="1" x14ac:dyDescent="0.35">
      <c r="B22" s="1" t="s">
        <v>202</v>
      </c>
      <c r="C22" s="1"/>
      <c r="D22" s="1"/>
      <c r="E22" s="1"/>
      <c r="F22" s="1"/>
      <c r="G22" s="1"/>
      <c r="H22" s="1"/>
      <c r="I22" s="1"/>
      <c r="J22" s="1"/>
      <c r="K22" s="1"/>
      <c r="L22" s="1"/>
      <c r="M22" s="1"/>
      <c r="N22" s="1"/>
      <c r="O22" s="1"/>
      <c r="P22" s="1"/>
    </row>
    <row r="23" spans="2:27" ht="31.5" customHeight="1" x14ac:dyDescent="0.35">
      <c r="B23" s="40" t="s">
        <v>177</v>
      </c>
      <c r="C23" s="40" t="s">
        <v>203</v>
      </c>
      <c r="D23" s="41" t="s">
        <v>180</v>
      </c>
      <c r="E23" s="41" t="s">
        <v>204</v>
      </c>
      <c r="F23" s="41" t="s">
        <v>205</v>
      </c>
      <c r="G23" s="41" t="s">
        <v>206</v>
      </c>
      <c r="H23" s="41" t="s">
        <v>207</v>
      </c>
      <c r="I23" s="41" t="s">
        <v>208</v>
      </c>
      <c r="J23" s="41" t="s">
        <v>209</v>
      </c>
      <c r="K23" s="41" t="s">
        <v>210</v>
      </c>
      <c r="L23" s="40" t="s">
        <v>211</v>
      </c>
      <c r="M23" s="48"/>
      <c r="N23" s="48"/>
      <c r="O23" s="48"/>
      <c r="P23" s="48"/>
    </row>
    <row r="24" spans="2:27" ht="16.5" customHeight="1" x14ac:dyDescent="0.35">
      <c r="B24" s="49" t="str">
        <f>IF($S$10=0,"",IF($B$10="","(unnamed job)",$B$10))</f>
        <v>Harbourview Retail Fit-Out</v>
      </c>
      <c r="C24" s="49" t="str">
        <f>IF($S$10=0,"",IF($S$10=2,"Incomplete","Complete"))</f>
        <v>Complete</v>
      </c>
      <c r="D24" s="43">
        <f>IF($S$10&lt;&gt;1,"",$F$10)</f>
        <v>517000</v>
      </c>
      <c r="E24" s="43">
        <f>IF($S$10&lt;&gt;1,"",$F$10-$K$10)</f>
        <v>119000</v>
      </c>
      <c r="F24" s="50">
        <f>IF($S$10&lt;&gt;1,"",IF($F$10=0,"N/M",($F$10-$K$10)/$F$10))</f>
        <v>0.23017408123791103</v>
      </c>
      <c r="G24" s="43">
        <f>IF($S$10&lt;&gt;1,"",$F$10-$P$10)</f>
        <v>99000</v>
      </c>
      <c r="H24" s="50">
        <f>IF($S$10&lt;&gt;1,"",IF($F$10=0,"N/M",($F$10-$P$10)/$F$10))</f>
        <v>0.19148936170212766</v>
      </c>
      <c r="I24" s="51">
        <f>IF($S$10&lt;&gt;1,"",$P$10-$K$10)</f>
        <v>20000</v>
      </c>
      <c r="J24" s="52">
        <f>IF($S$10&lt;&gt;1,"",IF($K$10=0,"N/M",($P$10-$K$10)/$K$10))</f>
        <v>5.0251256281407038E-2</v>
      </c>
      <c r="K24" s="53">
        <f>IF($S$10&lt;&gt;1,"",IF($F$10=0,"N/M",(($F$10-$P$10)/$F$10-($F$10-$K$10)/$F$10)*100))</f>
        <v>-3.8684719535783367</v>
      </c>
      <c r="L24" s="102" t="str">
        <f>IF($S$10=0,"",IF($S$10=2,"Complete the required inputs for this job.",IF($C$10="Complete","Actual result — this job is marked complete.","Current / projected from the costs entered so far — this may change.")))</f>
        <v>Actual result — this job is marked complete.</v>
      </c>
      <c r="M24" s="102"/>
      <c r="N24" s="102"/>
      <c r="O24" s="102"/>
      <c r="P24" s="102"/>
    </row>
    <row r="25" spans="2:27" ht="16.5" customHeight="1" x14ac:dyDescent="0.35">
      <c r="B25" s="54" t="str">
        <f>IF($S$11=0,"",IF($B$11="","(unnamed job)",$B$11))</f>
        <v>Cedar Ridge Multi-Unit Renovation</v>
      </c>
      <c r="C25" s="54" t="str">
        <f>IF($S$11=0,"",IF($S$11=2,"Incomplete","Complete"))</f>
        <v>Complete</v>
      </c>
      <c r="D25" s="55">
        <f>IF($S$11&lt;&gt;1,"",$F$11)</f>
        <v>910500</v>
      </c>
      <c r="E25" s="55">
        <f>IF($S$11&lt;&gt;1,"",$F$11-$K$11)</f>
        <v>204500</v>
      </c>
      <c r="F25" s="56">
        <f>IF($S$11&lt;&gt;1,"",IF($F$11=0,"N/M",($F$11-$K$11)/$F$11))</f>
        <v>0.22460186710598573</v>
      </c>
      <c r="G25" s="55">
        <f>IF($S$11&lt;&gt;1,"",$F$11-$P$11)</f>
        <v>231500</v>
      </c>
      <c r="H25" s="56">
        <f>IF($S$11&lt;&gt;1,"",IF($F$11=0,"N/M",($F$11-$P$11)/$F$11))</f>
        <v>0.2542559033498078</v>
      </c>
      <c r="I25" s="57">
        <f>IF($S$11&lt;&gt;1,"",$P$11-$K$11)</f>
        <v>-27000</v>
      </c>
      <c r="J25" s="58">
        <f>IF($S$11&lt;&gt;1,"",IF($K$11=0,"N/M",($P$11-$K$11)/$K$11))</f>
        <v>-3.8243626062322948E-2</v>
      </c>
      <c r="K25" s="59">
        <f>IF($S$11&lt;&gt;1,"",IF($F$11=0,"N/M",(($F$11-$P$11)/$F$11-($F$11-$K$11)/$F$11)*100))</f>
        <v>2.9654036243822066</v>
      </c>
      <c r="L25" s="103" t="str">
        <f>IF($S$11=0,"",IF($S$11=2,"Complete the required inputs for this job.",IF($C$11="Complete","Actual result — this job is marked complete.","Current / projected from the costs entered so far — this may change.")))</f>
        <v>Actual result — this job is marked complete.</v>
      </c>
      <c r="M25" s="103"/>
      <c r="N25" s="103"/>
      <c r="O25" s="103"/>
      <c r="P25" s="103"/>
    </row>
    <row r="26" spans="2:27" ht="16.5" customHeight="1" x14ac:dyDescent="0.35">
      <c r="B26" s="49" t="str">
        <f>IF($S$12=0,"",IF($B$12="","(unnamed job)",$B$12))</f>
        <v>Riverbend Warehouse Expansion</v>
      </c>
      <c r="C26" s="49" t="str">
        <f>IF($S$12=0,"",IF($S$12=2,"Incomplete","Complete"))</f>
        <v>Complete</v>
      </c>
      <c r="D26" s="43">
        <f>IF($S$12&lt;&gt;1,"",$F$12)</f>
        <v>1316000</v>
      </c>
      <c r="E26" s="43">
        <f>IF($S$12&lt;&gt;1,"",$F$12-$K$12)</f>
        <v>292000</v>
      </c>
      <c r="F26" s="50">
        <f>IF($S$12&lt;&gt;1,"",IF($F$12=0,"N/M",($F$12-$K$12)/$F$12))</f>
        <v>0.22188449848024316</v>
      </c>
      <c r="G26" s="43">
        <f>IF($S$12&lt;&gt;1,"",$F$12-$P$12)</f>
        <v>464500</v>
      </c>
      <c r="H26" s="50">
        <f>IF($S$12&lt;&gt;1,"",IF($F$12=0,"N/M",($F$12-$P$12)/$F$12))</f>
        <v>0.35296352583586627</v>
      </c>
      <c r="I26" s="51">
        <f>IF($S$12&lt;&gt;1,"",$P$12-$K$12)</f>
        <v>-172500</v>
      </c>
      <c r="J26" s="52">
        <f>IF($S$12&lt;&gt;1,"",IF($K$12=0,"N/M",($P$12-$K$12)/$K$12))</f>
        <v>-0.16845703125</v>
      </c>
      <c r="K26" s="53">
        <f>IF($S$12&lt;&gt;1,"",IF($F$12=0,"N/M",(($F$12-$P$12)/$F$12-($F$12-$K$12)/$F$12)*100))</f>
        <v>13.107902735562311</v>
      </c>
      <c r="L26" s="102" t="str">
        <f>IF($S$12=0,"",IF($S$12=2,"Complete the required inputs for this job.",IF($C$12="Complete","Actual result — this job is marked complete.","Current / projected from the costs entered so far — this may change.")))</f>
        <v>Current / projected from the costs entered so far — this may change.</v>
      </c>
      <c r="M26" s="102"/>
      <c r="N26" s="102"/>
      <c r="O26" s="102"/>
      <c r="P26" s="102"/>
    </row>
    <row r="27" spans="2:27" ht="16.5" customHeight="1" x14ac:dyDescent="0.35">
      <c r="B27" s="54" t="str">
        <f>IF($S$13=0,"",IF($B$13="","(unnamed job)",$B$13))</f>
        <v>Northgate Roof Replacement</v>
      </c>
      <c r="C27" s="54" t="str">
        <f>IF($S$13=0,"",IF($S$13=2,"Incomplete","Complete"))</f>
        <v>Complete</v>
      </c>
      <c r="D27" s="55">
        <f>IF($S$13&lt;&gt;1,"",$F$13)</f>
        <v>168000</v>
      </c>
      <c r="E27" s="55">
        <f>IF($S$13&lt;&gt;1,"",$F$13-$K$13)</f>
        <v>35500</v>
      </c>
      <c r="F27" s="56">
        <f>IF($S$13&lt;&gt;1,"",IF($F$13=0,"N/M",($F$13-$K$13)/$F$13))</f>
        <v>0.21130952380952381</v>
      </c>
      <c r="G27" s="55">
        <f>IF($S$13&lt;&gt;1,"",$F$13-$P$13)</f>
        <v>25300</v>
      </c>
      <c r="H27" s="56">
        <f>IF($S$13&lt;&gt;1,"",IF($F$13=0,"N/M",($F$13-$P$13)/$F$13))</f>
        <v>0.15059523809523809</v>
      </c>
      <c r="I27" s="57">
        <f>IF($S$13&lt;&gt;1,"",$P$13-$K$13)</f>
        <v>10200</v>
      </c>
      <c r="J27" s="58">
        <f>IF($S$13&lt;&gt;1,"",IF($K$13=0,"N/M",($P$13-$K$13)/$K$13))</f>
        <v>7.6981132075471692E-2</v>
      </c>
      <c r="K27" s="59">
        <f>IF($S$13&lt;&gt;1,"",IF($F$13=0,"N/M",(($F$13-$P$13)/$F$13-($F$13-$K$13)/$F$13)*100))</f>
        <v>-6.0714285714285721</v>
      </c>
      <c r="L27" s="103" t="str">
        <f>IF($S$13=0,"",IF($S$13=2,"Complete the required inputs for this job.",IF($C$13="Complete","Actual result — this job is marked complete.","Current / projected from the costs entered so far — this may change.")))</f>
        <v>Actual result — this job is marked complete.</v>
      </c>
      <c r="M27" s="103"/>
      <c r="N27" s="103"/>
      <c r="O27" s="103"/>
      <c r="P27" s="103"/>
    </row>
    <row r="28" spans="2:27" ht="16.5" customHeight="1" x14ac:dyDescent="0.35">
      <c r="B28" s="49" t="str">
        <f>IF($S$14=0,"",IF($B$14="","(unnamed job)",$B$14))</f>
        <v>Willowbrook Tenant Improvements</v>
      </c>
      <c r="C28" s="49" t="str">
        <f>IF($S$14=0,"",IF($S$14=2,"Incomplete","Complete"))</f>
        <v>Complete</v>
      </c>
      <c r="D28" s="43">
        <f>IF($S$14&lt;&gt;1,"",$F$14)</f>
        <v>360900</v>
      </c>
      <c r="E28" s="43">
        <f>IF($S$14&lt;&gt;1,"",$F$14-$K$14)</f>
        <v>93900</v>
      </c>
      <c r="F28" s="50">
        <f>IF($S$14&lt;&gt;1,"",IF($F$14=0,"N/M",($F$14-$K$14)/$F$14))</f>
        <v>0.26018287614297592</v>
      </c>
      <c r="G28" s="43">
        <f>IF($S$14&lt;&gt;1,"",$F$14-$P$14)</f>
        <v>106100</v>
      </c>
      <c r="H28" s="50">
        <f>IF($S$14&lt;&gt;1,"",IF($F$14=0,"N/M",($F$14-$P$14)/$F$14))</f>
        <v>0.29398725408700471</v>
      </c>
      <c r="I28" s="51">
        <f>IF($S$14&lt;&gt;1,"",$P$14-$K$14)</f>
        <v>-12200</v>
      </c>
      <c r="J28" s="52">
        <f>IF($S$14&lt;&gt;1,"",IF($K$14=0,"N/M",($P$14-$K$14)/$K$14))</f>
        <v>-4.5692883895131084E-2</v>
      </c>
      <c r="K28" s="53">
        <f>IF($S$14&lt;&gt;1,"",IF($F$14=0,"N/M",(($F$14-$P$14)/$F$14-($F$14-$K$14)/$F$14)*100))</f>
        <v>3.3804377944028796</v>
      </c>
      <c r="L28" s="102" t="str">
        <f>IF($S$14=0,"",IF($S$14=2,"Complete the required inputs for this job.",IF($C$14="Complete","Actual result — this job is marked complete.","Current / projected from the costs entered so far — this may change.")))</f>
        <v>Actual result — this job is marked complete.</v>
      </c>
      <c r="M28" s="102"/>
      <c r="N28" s="102"/>
      <c r="O28" s="102"/>
      <c r="P28" s="102"/>
    </row>
    <row r="29" spans="2:27" ht="16.5" customHeight="1" x14ac:dyDescent="0.35">
      <c r="B29" s="54" t="str">
        <f>IF($S$15=0,"",IF($B$15="","(unnamed job)",$B$15))</f>
        <v>Sunnyside Mechanical Upgrade</v>
      </c>
      <c r="C29" s="54" t="str">
        <f>IF($S$15=0,"",IF($S$15=2,"Incomplete","Complete"))</f>
        <v>Complete</v>
      </c>
      <c r="D29" s="55">
        <f>IF($S$15&lt;&gt;1,"",$F$15)</f>
        <v>596000</v>
      </c>
      <c r="E29" s="55">
        <f>IF($S$15&lt;&gt;1,"",$F$15-$K$15)</f>
        <v>109000</v>
      </c>
      <c r="F29" s="56">
        <f>IF($S$15&lt;&gt;1,"",IF($F$15=0,"N/M",($F$15-$K$15)/$F$15))</f>
        <v>0.18288590604026847</v>
      </c>
      <c r="G29" s="55">
        <f>IF($S$15&lt;&gt;1,"",$F$15-$P$15)</f>
        <v>262500</v>
      </c>
      <c r="H29" s="56">
        <f>IF($S$15&lt;&gt;1,"",IF($F$15=0,"N/M",($F$15-$P$15)/$F$15))</f>
        <v>0.44043624161073824</v>
      </c>
      <c r="I29" s="57">
        <f>IF($S$15&lt;&gt;1,"",$P$15-$K$15)</f>
        <v>-153500</v>
      </c>
      <c r="J29" s="58">
        <f>IF($S$15&lt;&gt;1,"",IF($K$15=0,"N/M",($P$15-$K$15)/$K$15))</f>
        <v>-0.31519507186858314</v>
      </c>
      <c r="K29" s="59">
        <f>IF($S$15&lt;&gt;1,"",IF($F$15=0,"N/M",(($F$15-$P$15)/$F$15-($F$15-$K$15)/$F$15)*100))</f>
        <v>25.755033557046978</v>
      </c>
      <c r="L29" s="103" t="str">
        <f>IF($S$15=0,"",IF($S$15=2,"Complete the required inputs for this job.",IF($C$15="Complete","Actual result — this job is marked complete.","Current / projected from the costs entered so far — this may change.")))</f>
        <v>Current / projected from the costs entered so far — this may change.</v>
      </c>
      <c r="M29" s="103"/>
      <c r="N29" s="103"/>
      <c r="O29" s="103"/>
      <c r="P29" s="103"/>
    </row>
    <row r="30" spans="2:27" ht="16.5" customHeight="1" x14ac:dyDescent="0.35">
      <c r="B30" s="49" t="str">
        <f>IF($S$16=0,"",IF($B$16="","(unnamed job)",$B$16))</f>
        <v/>
      </c>
      <c r="C30" s="49" t="str">
        <f>IF($S$16=0,"",IF($S$16=2,"Incomplete","Complete"))</f>
        <v/>
      </c>
      <c r="D30" s="43" t="str">
        <f>IF($S$16&lt;&gt;1,"",$F$16)</f>
        <v/>
      </c>
      <c r="E30" s="43" t="str">
        <f>IF($S$16&lt;&gt;1,"",$F$16-$K$16)</f>
        <v/>
      </c>
      <c r="F30" s="50" t="str">
        <f>IF($S$16&lt;&gt;1,"",IF($F$16=0,"N/M",($F$16-$K$16)/$F$16))</f>
        <v/>
      </c>
      <c r="G30" s="43" t="str">
        <f>IF($S$16&lt;&gt;1,"",$F$16-$P$16)</f>
        <v/>
      </c>
      <c r="H30" s="50" t="str">
        <f>IF($S$16&lt;&gt;1,"",IF($F$16=0,"N/M",($F$16-$P$16)/$F$16))</f>
        <v/>
      </c>
      <c r="I30" s="51" t="str">
        <f>IF($S$16&lt;&gt;1,"",$P$16-$K$16)</f>
        <v/>
      </c>
      <c r="J30" s="52" t="str">
        <f>IF($S$16&lt;&gt;1,"",IF($K$16=0,"N/M",($P$16-$K$16)/$K$16))</f>
        <v/>
      </c>
      <c r="K30" s="53" t="str">
        <f>IF($S$16&lt;&gt;1,"",IF($F$16=0,"N/M",(($F$16-$P$16)/$F$16-($F$16-$K$16)/$F$16)*100))</f>
        <v/>
      </c>
      <c r="L30" s="102" t="str">
        <f>IF($S$16=0,"",IF($S$16=2,"Complete the required inputs for this job.",IF($C$16="Complete","Actual result — this job is marked complete.","Current / projected from the costs entered so far — this may change.")))</f>
        <v/>
      </c>
      <c r="M30" s="102"/>
      <c r="N30" s="102"/>
      <c r="O30" s="102"/>
      <c r="P30" s="102"/>
    </row>
    <row r="31" spans="2:27" ht="16.5" customHeight="1" x14ac:dyDescent="0.35">
      <c r="B31" s="54" t="str">
        <f>IF($S$17=0,"",IF($B$17="","(unnamed job)",$B$17))</f>
        <v/>
      </c>
      <c r="C31" s="54" t="str">
        <f>IF($S$17=0,"",IF($S$17=2,"Incomplete","Complete"))</f>
        <v/>
      </c>
      <c r="D31" s="55" t="str">
        <f>IF($S$17&lt;&gt;1,"",$F$17)</f>
        <v/>
      </c>
      <c r="E31" s="55" t="str">
        <f>IF($S$17&lt;&gt;1,"",$F$17-$K$17)</f>
        <v/>
      </c>
      <c r="F31" s="56" t="str">
        <f>IF($S$17&lt;&gt;1,"",IF($F$17=0,"N/M",($F$17-$K$17)/$F$17))</f>
        <v/>
      </c>
      <c r="G31" s="55" t="str">
        <f>IF($S$17&lt;&gt;1,"",$F$17-$P$17)</f>
        <v/>
      </c>
      <c r="H31" s="56" t="str">
        <f>IF($S$17&lt;&gt;1,"",IF($F$17=0,"N/M",($F$17-$P$17)/$F$17))</f>
        <v/>
      </c>
      <c r="I31" s="57" t="str">
        <f>IF($S$17&lt;&gt;1,"",$P$17-$K$17)</f>
        <v/>
      </c>
      <c r="J31" s="58" t="str">
        <f>IF($S$17&lt;&gt;1,"",IF($K$17=0,"N/M",($P$17-$K$17)/$K$17))</f>
        <v/>
      </c>
      <c r="K31" s="59" t="str">
        <f>IF($S$17&lt;&gt;1,"",IF($F$17=0,"N/M",(($F$17-$P$17)/$F$17-($F$17-$K$17)/$F$17)*100))</f>
        <v/>
      </c>
      <c r="L31" s="103" t="str">
        <f>IF($S$17=0,"",IF($S$17=2,"Complete the required inputs for this job.",IF($C$17="Complete","Actual result — this job is marked complete.","Current / projected from the costs entered so far — this may change.")))</f>
        <v/>
      </c>
      <c r="M31" s="103"/>
      <c r="N31" s="103"/>
      <c r="O31" s="103"/>
      <c r="P31" s="103"/>
    </row>
    <row r="32" spans="2:27" ht="16.5" customHeight="1" x14ac:dyDescent="0.35">
      <c r="B32" s="49" t="str">
        <f>IF($S$18=0,"",IF($B$18="","(unnamed job)",$B$18))</f>
        <v/>
      </c>
      <c r="C32" s="49" t="str">
        <f>IF($S$18=0,"",IF($S$18=2,"Incomplete","Complete"))</f>
        <v/>
      </c>
      <c r="D32" s="43" t="str">
        <f>IF($S$18&lt;&gt;1,"",$F$18)</f>
        <v/>
      </c>
      <c r="E32" s="43" t="str">
        <f>IF($S$18&lt;&gt;1,"",$F$18-$K$18)</f>
        <v/>
      </c>
      <c r="F32" s="50" t="str">
        <f>IF($S$18&lt;&gt;1,"",IF($F$18=0,"N/M",($F$18-$K$18)/$F$18))</f>
        <v/>
      </c>
      <c r="G32" s="43" t="str">
        <f>IF($S$18&lt;&gt;1,"",$F$18-$P$18)</f>
        <v/>
      </c>
      <c r="H32" s="50" t="str">
        <f>IF($S$18&lt;&gt;1,"",IF($F$18=0,"N/M",($F$18-$P$18)/$F$18))</f>
        <v/>
      </c>
      <c r="I32" s="51" t="str">
        <f>IF($S$18&lt;&gt;1,"",$P$18-$K$18)</f>
        <v/>
      </c>
      <c r="J32" s="52" t="str">
        <f>IF($S$18&lt;&gt;1,"",IF($K$18=0,"N/M",($P$18-$K$18)/$K$18))</f>
        <v/>
      </c>
      <c r="K32" s="53" t="str">
        <f>IF($S$18&lt;&gt;1,"",IF($F$18=0,"N/M",(($F$18-$P$18)/$F$18-($F$18-$K$18)/$F$18)*100))</f>
        <v/>
      </c>
      <c r="L32" s="102" t="str">
        <f>IF($S$18=0,"",IF($S$18=2,"Complete the required inputs for this job.",IF($C$18="Complete","Actual result — this job is marked complete.","Current / projected from the costs entered so far — this may change.")))</f>
        <v/>
      </c>
      <c r="M32" s="102"/>
      <c r="N32" s="102"/>
      <c r="O32" s="102"/>
      <c r="P32" s="102"/>
    </row>
    <row r="33" spans="2:16" ht="16.5" customHeight="1" x14ac:dyDescent="0.35">
      <c r="B33" s="54" t="str">
        <f>IF($S$19=0,"",IF($B$19="","(unnamed job)",$B$19))</f>
        <v/>
      </c>
      <c r="C33" s="54" t="str">
        <f>IF($S$19=0,"",IF($S$19=2,"Incomplete","Complete"))</f>
        <v/>
      </c>
      <c r="D33" s="55" t="str">
        <f>IF($S$19&lt;&gt;1,"",$F$19)</f>
        <v/>
      </c>
      <c r="E33" s="55" t="str">
        <f>IF($S$19&lt;&gt;1,"",$F$19-$K$19)</f>
        <v/>
      </c>
      <c r="F33" s="56" t="str">
        <f>IF($S$19&lt;&gt;1,"",IF($F$19=0,"N/M",($F$19-$K$19)/$F$19))</f>
        <v/>
      </c>
      <c r="G33" s="55" t="str">
        <f>IF($S$19&lt;&gt;1,"",$F$19-$P$19)</f>
        <v/>
      </c>
      <c r="H33" s="56" t="str">
        <f>IF($S$19&lt;&gt;1,"",IF($F$19=0,"N/M",($F$19-$P$19)/$F$19))</f>
        <v/>
      </c>
      <c r="I33" s="57" t="str">
        <f>IF($S$19&lt;&gt;1,"",$P$19-$K$19)</f>
        <v/>
      </c>
      <c r="J33" s="58" t="str">
        <f>IF($S$19&lt;&gt;1,"",IF($K$19=0,"N/M",($P$19-$K$19)/$K$19))</f>
        <v/>
      </c>
      <c r="K33" s="59" t="str">
        <f>IF($S$19&lt;&gt;1,"",IF($F$19=0,"N/M",(($F$19-$P$19)/$F$19-($F$19-$K$19)/$F$19)*100))</f>
        <v/>
      </c>
      <c r="L33" s="103" t="str">
        <f>IF($S$19=0,"",IF($S$19=2,"Complete the required inputs for this job.",IF($C$19="Complete","Actual result — this job is marked complete.","Current / projected from the costs entered so far — this may change.")))</f>
        <v/>
      </c>
      <c r="M33" s="103"/>
      <c r="N33" s="103"/>
      <c r="O33" s="103"/>
      <c r="P33" s="103"/>
    </row>
    <row r="34" spans="2:16" ht="21.75" customHeight="1" x14ac:dyDescent="0.35">
      <c r="B34" s="99" t="s">
        <v>212</v>
      </c>
      <c r="C34" s="99"/>
      <c r="D34" s="99"/>
      <c r="E34" s="99"/>
      <c r="F34" s="99"/>
      <c r="G34" s="99"/>
      <c r="H34" s="99"/>
      <c r="I34" s="99"/>
      <c r="J34" s="99"/>
      <c r="K34" s="99"/>
      <c r="L34" s="99"/>
      <c r="M34" s="99"/>
      <c r="N34" s="99"/>
      <c r="O34" s="99"/>
      <c r="P34" s="99"/>
    </row>
    <row r="35" spans="2:16" ht="7.5" customHeight="1" x14ac:dyDescent="0.35"/>
    <row r="36" spans="2:16" ht="18.75" customHeight="1" x14ac:dyDescent="0.35">
      <c r="B36" s="1" t="s">
        <v>213</v>
      </c>
      <c r="C36" s="1"/>
      <c r="D36" s="1"/>
      <c r="E36" s="1"/>
      <c r="F36" s="1"/>
      <c r="G36" s="1"/>
      <c r="H36" s="1"/>
      <c r="I36" s="1"/>
      <c r="J36" s="1"/>
      <c r="K36" s="1"/>
      <c r="L36" s="1"/>
      <c r="M36" s="1"/>
      <c r="N36" s="1"/>
      <c r="O36" s="1"/>
      <c r="P36" s="1"/>
    </row>
    <row r="37" spans="2:16" ht="15.75" customHeight="1" x14ac:dyDescent="0.35">
      <c r="B37" s="26" t="s">
        <v>214</v>
      </c>
      <c r="C37" s="48"/>
      <c r="D37" s="48"/>
      <c r="E37" s="48"/>
      <c r="F37" s="60" t="s">
        <v>215</v>
      </c>
      <c r="G37" s="48"/>
      <c r="H37" s="26" t="s">
        <v>216</v>
      </c>
      <c r="I37" s="48"/>
      <c r="J37" s="48"/>
      <c r="K37" s="48"/>
      <c r="L37" s="48"/>
      <c r="M37" s="48"/>
      <c r="N37" s="48"/>
      <c r="O37" s="48"/>
      <c r="P37" s="48"/>
    </row>
    <row r="38" spans="2:16" ht="18" customHeight="1" x14ac:dyDescent="0.35">
      <c r="B38" s="104" t="s">
        <v>217</v>
      </c>
      <c r="C38" s="104"/>
      <c r="D38" s="104"/>
      <c r="E38" s="104"/>
      <c r="F38" s="105">
        <f>IF($T$9=1,"Incomplete Job Inputs",COUNTIF($S$10:$S$19,1))</f>
        <v>6</v>
      </c>
      <c r="G38" s="105"/>
      <c r="H38" s="106" t="s">
        <v>218</v>
      </c>
      <c r="I38" s="106"/>
      <c r="J38" s="106"/>
      <c r="K38" s="106"/>
      <c r="L38" s="106"/>
      <c r="M38" s="106"/>
      <c r="N38" s="106"/>
      <c r="O38" s="106"/>
      <c r="P38" s="106"/>
    </row>
    <row r="39" spans="2:16" ht="18" customHeight="1" x14ac:dyDescent="0.35">
      <c r="B39" s="104" t="s">
        <v>219</v>
      </c>
      <c r="C39" s="104"/>
      <c r="D39" s="104"/>
      <c r="E39" s="104"/>
      <c r="F39" s="107">
        <f>IF($T$9=1,"Incomplete Job Inputs",IF(COUNTIF($S$10:$S$19,1)=0,"No Jobs Entered",SUMIF($S$10:$S$19,1,$F$10:$F$19)))</f>
        <v>3868400</v>
      </c>
      <c r="G39" s="107"/>
      <c r="H39" s="106" t="s">
        <v>220</v>
      </c>
      <c r="I39" s="106"/>
      <c r="J39" s="106"/>
      <c r="K39" s="106"/>
      <c r="L39" s="106"/>
      <c r="M39" s="106"/>
      <c r="N39" s="106"/>
      <c r="O39" s="106"/>
      <c r="P39" s="106"/>
    </row>
    <row r="40" spans="2:16" ht="18" customHeight="1" x14ac:dyDescent="0.35">
      <c r="B40" s="104" t="s">
        <v>221</v>
      </c>
      <c r="C40" s="104"/>
      <c r="D40" s="104"/>
      <c r="E40" s="104"/>
      <c r="F40" s="107">
        <f>IF($T$9=1,"Incomplete Job Inputs",IF(COUNTIF($S$10:$S$19,1)=0,"No Jobs Entered",SUMIF($S$10:$S$19,1,$K$10:$K$19)))</f>
        <v>3014500</v>
      </c>
      <c r="G40" s="107"/>
      <c r="H40" s="106" t="s">
        <v>222</v>
      </c>
      <c r="I40" s="106"/>
      <c r="J40" s="106"/>
      <c r="K40" s="106"/>
      <c r="L40" s="106"/>
      <c r="M40" s="106"/>
      <c r="N40" s="106"/>
      <c r="O40" s="106"/>
      <c r="P40" s="106"/>
    </row>
    <row r="41" spans="2:16" ht="18" customHeight="1" x14ac:dyDescent="0.35">
      <c r="B41" s="108" t="s">
        <v>223</v>
      </c>
      <c r="C41" s="108"/>
      <c r="D41" s="108"/>
      <c r="E41" s="108"/>
      <c r="F41" s="109">
        <f>IF(NOT(ISNUMBER($F$39)),$F$39,IF(NOT(ISNUMBER($F$40)),$F$40,$F$39-$F$40))</f>
        <v>853900</v>
      </c>
      <c r="G41" s="109"/>
      <c r="H41" s="106" t="s">
        <v>224</v>
      </c>
      <c r="I41" s="106"/>
      <c r="J41" s="106"/>
      <c r="K41" s="106"/>
      <c r="L41" s="106"/>
      <c r="M41" s="106"/>
      <c r="N41" s="106"/>
      <c r="O41" s="106"/>
      <c r="P41" s="106"/>
    </row>
    <row r="42" spans="2:16" ht="18" customHeight="1" x14ac:dyDescent="0.35">
      <c r="B42" s="108" t="s">
        <v>225</v>
      </c>
      <c r="C42" s="108"/>
      <c r="D42" s="108"/>
      <c r="E42" s="108"/>
      <c r="F42" s="110">
        <f>IF(NOT(ISNUMBER($F$41)),$F$41,IF(NOT(ISNUMBER($F$39)),$F$39,IF($F$39=0,"N/M",$F$41/$F$39)))</f>
        <v>0.22073725571295627</v>
      </c>
      <c r="G42" s="110"/>
      <c r="H42" s="106" t="s">
        <v>226</v>
      </c>
      <c r="I42" s="106"/>
      <c r="J42" s="106"/>
      <c r="K42" s="106"/>
      <c r="L42" s="106"/>
      <c r="M42" s="106"/>
      <c r="N42" s="106"/>
      <c r="O42" s="106"/>
      <c r="P42" s="106"/>
    </row>
    <row r="43" spans="2:16" ht="15.75" customHeight="1" x14ac:dyDescent="0.35">
      <c r="B43" s="99" t="s">
        <v>227</v>
      </c>
      <c r="C43" s="99"/>
      <c r="D43" s="99"/>
      <c r="E43" s="99"/>
      <c r="F43" s="99"/>
      <c r="G43" s="99"/>
      <c r="H43" s="99"/>
      <c r="I43" s="99"/>
      <c r="J43" s="99"/>
      <c r="K43" s="99"/>
      <c r="L43" s="99"/>
      <c r="M43" s="99"/>
      <c r="N43" s="99"/>
      <c r="O43" s="99"/>
      <c r="P43" s="99"/>
    </row>
    <row r="44" spans="2:16" ht="7.5" customHeight="1" x14ac:dyDescent="0.35"/>
    <row r="45" spans="2:16" ht="18.75" customHeight="1" x14ac:dyDescent="0.35">
      <c r="B45" s="1" t="s">
        <v>228</v>
      </c>
      <c r="C45" s="1"/>
      <c r="D45" s="1"/>
      <c r="E45" s="1"/>
      <c r="F45" s="1"/>
      <c r="G45" s="1"/>
      <c r="H45" s="1"/>
      <c r="I45" s="1"/>
      <c r="J45" s="1"/>
      <c r="K45" s="1"/>
      <c r="L45" s="1"/>
      <c r="M45" s="1"/>
      <c r="N45" s="1"/>
      <c r="O45" s="1"/>
      <c r="P45" s="1"/>
    </row>
    <row r="46" spans="2:16" ht="15.75" customHeight="1" x14ac:dyDescent="0.35">
      <c r="B46" s="26" t="s">
        <v>214</v>
      </c>
      <c r="C46" s="48"/>
      <c r="D46" s="48"/>
      <c r="E46" s="48"/>
      <c r="F46" s="60" t="s">
        <v>215</v>
      </c>
      <c r="G46" s="48"/>
      <c r="H46" s="26" t="s">
        <v>216</v>
      </c>
      <c r="I46" s="48"/>
      <c r="J46" s="48"/>
      <c r="K46" s="48"/>
      <c r="L46" s="48"/>
      <c r="M46" s="48"/>
      <c r="N46" s="48"/>
      <c r="O46" s="48"/>
      <c r="P46" s="48"/>
    </row>
    <row r="47" spans="2:16" ht="18" customHeight="1" x14ac:dyDescent="0.35">
      <c r="B47" s="104" t="s">
        <v>229</v>
      </c>
      <c r="C47" s="104"/>
      <c r="D47" s="104"/>
      <c r="E47" s="104"/>
      <c r="F47" s="105">
        <f>IF($T$9=1,"Incomplete Job Inputs",SUM($U$10:$U$19))</f>
        <v>4</v>
      </c>
      <c r="G47" s="105"/>
      <c r="H47" s="106" t="s">
        <v>230</v>
      </c>
      <c r="I47" s="106"/>
      <c r="J47" s="106"/>
      <c r="K47" s="106"/>
      <c r="L47" s="106"/>
      <c r="M47" s="106"/>
      <c r="N47" s="106"/>
      <c r="O47" s="106"/>
      <c r="P47" s="106"/>
    </row>
    <row r="48" spans="2:16" ht="18" customHeight="1" x14ac:dyDescent="0.35">
      <c r="B48" s="104" t="s">
        <v>219</v>
      </c>
      <c r="C48" s="104"/>
      <c r="D48" s="104"/>
      <c r="E48" s="104"/>
      <c r="F48" s="107">
        <f>IF($T$9=1,"Incomplete Job Inputs",IF(SUM($U$10:$U$19)=0,"No Completed Jobs",SUMIF($U$10:$U$19,1,$F$10:$F$19)))</f>
        <v>1956400</v>
      </c>
      <c r="G48" s="107"/>
      <c r="H48" s="106" t="s">
        <v>231</v>
      </c>
      <c r="I48" s="106"/>
      <c r="J48" s="106"/>
      <c r="K48" s="106"/>
      <c r="L48" s="106"/>
      <c r="M48" s="106"/>
      <c r="N48" s="106"/>
      <c r="O48" s="106"/>
      <c r="P48" s="106"/>
    </row>
    <row r="49" spans="2:16" ht="18" customHeight="1" x14ac:dyDescent="0.35">
      <c r="B49" s="104" t="s">
        <v>221</v>
      </c>
      <c r="C49" s="104"/>
      <c r="D49" s="104"/>
      <c r="E49" s="104"/>
      <c r="F49" s="107">
        <f>IF($T$9=1,"Incomplete Job Inputs",IF(SUM($U$10:$U$19)=0,"No Completed Jobs",SUMIF($U$10:$U$19,1,$K$10:$K$19)))</f>
        <v>1503500</v>
      </c>
      <c r="G49" s="107"/>
      <c r="H49" s="106" t="s">
        <v>232</v>
      </c>
      <c r="I49" s="106"/>
      <c r="J49" s="106"/>
      <c r="K49" s="106"/>
      <c r="L49" s="106"/>
      <c r="M49" s="106"/>
      <c r="N49" s="106"/>
      <c r="O49" s="106"/>
      <c r="P49" s="106"/>
    </row>
    <row r="50" spans="2:16" ht="18" customHeight="1" x14ac:dyDescent="0.35">
      <c r="B50" s="104" t="s">
        <v>233</v>
      </c>
      <c r="C50" s="104"/>
      <c r="D50" s="104"/>
      <c r="E50" s="104"/>
      <c r="F50" s="107">
        <f>IF($T$9=1,"Incomplete Job Inputs",IF(SUM($U$10:$U$19)=0,"No Completed Jobs",SUMIF($U$10:$U$19,1,$P$10:$P$19)))</f>
        <v>1494500</v>
      </c>
      <c r="G50" s="107"/>
      <c r="H50" s="106" t="s">
        <v>234</v>
      </c>
      <c r="I50" s="106"/>
      <c r="J50" s="106"/>
      <c r="K50" s="106"/>
      <c r="L50" s="106"/>
      <c r="M50" s="106"/>
      <c r="N50" s="106"/>
      <c r="O50" s="106"/>
      <c r="P50" s="106"/>
    </row>
    <row r="51" spans="2:16" ht="18" customHeight="1" x14ac:dyDescent="0.35">
      <c r="B51" s="104" t="s">
        <v>223</v>
      </c>
      <c r="C51" s="104"/>
      <c r="D51" s="104"/>
      <c r="E51" s="104"/>
      <c r="F51" s="107">
        <f>IF(NOT(ISNUMBER($F$48)),$F$48,IF(NOT(ISNUMBER($F$49)),$F$49,$F$48-$F$49))</f>
        <v>452900</v>
      </c>
      <c r="G51" s="107"/>
      <c r="H51" s="106" t="s">
        <v>235</v>
      </c>
      <c r="I51" s="106"/>
      <c r="J51" s="106"/>
      <c r="K51" s="106"/>
      <c r="L51" s="106"/>
      <c r="M51" s="106"/>
      <c r="N51" s="106"/>
      <c r="O51" s="106"/>
      <c r="P51" s="106"/>
    </row>
    <row r="52" spans="2:16" ht="18" customHeight="1" x14ac:dyDescent="0.35">
      <c r="B52" s="104" t="s">
        <v>236</v>
      </c>
      <c r="C52" s="104"/>
      <c r="D52" s="104"/>
      <c r="E52" s="104"/>
      <c r="F52" s="107">
        <f>IF(NOT(ISNUMBER($F$48)),$F$48,IF(NOT(ISNUMBER($F$50)),$F$50,$F$48-$F$50))</f>
        <v>461900</v>
      </c>
      <c r="G52" s="107"/>
      <c r="H52" s="106" t="s">
        <v>237</v>
      </c>
      <c r="I52" s="106"/>
      <c r="J52" s="106"/>
      <c r="K52" s="106"/>
      <c r="L52" s="106"/>
      <c r="M52" s="106"/>
      <c r="N52" s="106"/>
      <c r="O52" s="106"/>
      <c r="P52" s="106"/>
    </row>
    <row r="53" spans="2:16" ht="18" customHeight="1" x14ac:dyDescent="0.35">
      <c r="B53" s="104" t="s">
        <v>225</v>
      </c>
      <c r="C53" s="104"/>
      <c r="D53" s="104"/>
      <c r="E53" s="104"/>
      <c r="F53" s="111">
        <f>IF(NOT(ISNUMBER($F$51)),$F$51,IF(NOT(ISNUMBER($F$48)),$F$48,IF($F$48=0,"N/M",$F$51/$F$48)))</f>
        <v>0.23149662645675731</v>
      </c>
      <c r="G53" s="111"/>
      <c r="H53" s="106" t="s">
        <v>238</v>
      </c>
      <c r="I53" s="106"/>
      <c r="J53" s="106"/>
      <c r="K53" s="106"/>
      <c r="L53" s="106"/>
      <c r="M53" s="106"/>
      <c r="N53" s="106"/>
      <c r="O53" s="106"/>
      <c r="P53" s="106"/>
    </row>
    <row r="54" spans="2:16" ht="18" customHeight="1" x14ac:dyDescent="0.35">
      <c r="B54" s="108" t="s">
        <v>239</v>
      </c>
      <c r="C54" s="108"/>
      <c r="D54" s="108"/>
      <c r="E54" s="108"/>
      <c r="F54" s="110">
        <f>IF(NOT(ISNUMBER($F$52)),$F$52,IF(NOT(ISNUMBER($F$48)),$F$48,IF($F$48=0,"N/M",$F$52/$F$48)))</f>
        <v>0.23609691269679003</v>
      </c>
      <c r="G54" s="110"/>
      <c r="H54" s="106" t="s">
        <v>240</v>
      </c>
      <c r="I54" s="106"/>
      <c r="J54" s="106"/>
      <c r="K54" s="106"/>
      <c r="L54" s="106"/>
      <c r="M54" s="106"/>
      <c r="N54" s="106"/>
      <c r="O54" s="106"/>
      <c r="P54" s="106"/>
    </row>
    <row r="55" spans="2:16" ht="18" customHeight="1" x14ac:dyDescent="0.35">
      <c r="B55" s="104" t="s">
        <v>241</v>
      </c>
      <c r="C55" s="104"/>
      <c r="D55" s="104"/>
      <c r="E55" s="104"/>
      <c r="F55" s="112">
        <f>IF(NOT(ISNUMBER($F$50)),$F$50,IF(NOT(ISNUMBER($F$49)),$F$49,$F$50-$F$49))</f>
        <v>-9000</v>
      </c>
      <c r="G55" s="112"/>
      <c r="H55" s="106" t="s">
        <v>242</v>
      </c>
      <c r="I55" s="106"/>
      <c r="J55" s="106"/>
      <c r="K55" s="106"/>
      <c r="L55" s="106"/>
      <c r="M55" s="106"/>
      <c r="N55" s="106"/>
      <c r="O55" s="106"/>
      <c r="P55" s="106"/>
    </row>
    <row r="56" spans="2:16" ht="18" customHeight="1" x14ac:dyDescent="0.35">
      <c r="B56" s="108" t="s">
        <v>243</v>
      </c>
      <c r="C56" s="108"/>
      <c r="D56" s="108"/>
      <c r="E56" s="108"/>
      <c r="F56" s="113">
        <f>IF(NOT(ISNUMBER($F$54)),$F$54,IF(NOT(ISNUMBER($F$53)),$F$53,($F$54-$F$53)*100))</f>
        <v>0.46002862400327249</v>
      </c>
      <c r="G56" s="113"/>
      <c r="H56" s="106" t="s">
        <v>244</v>
      </c>
      <c r="I56" s="106"/>
      <c r="J56" s="106"/>
      <c r="K56" s="106"/>
      <c r="L56" s="106"/>
      <c r="M56" s="106"/>
      <c r="N56" s="106"/>
      <c r="O56" s="106"/>
      <c r="P56" s="106"/>
    </row>
    <row r="57" spans="2:16" ht="21.75" customHeight="1" x14ac:dyDescent="0.35">
      <c r="B57" s="99" t="str">
        <f>IF(AND(ISNUMBER($F$47),$F$47&gt;0,ISNUMBER($F$48),$F$48=0),"The completed jobs entered have a total revised contract value of zero, so the weighted margins above read N/M. The job information itself is complete.  ","")&amp;"Jobs in progress are deliberately excluded from this comparison. Their costs are not final, so including them would "&amp;"compare a complete estimate against an incomplete actual and overstate margin. Individual in-progress jobs are still shown in the results table above."</f>
        <v>Jobs in progress are deliberately excluded from this comparison. Their costs are not final, so including them would compare a complete estimate against an incomplete actual and overstate margin. Individual in-progress jobs are still shown in the results table above.</v>
      </c>
      <c r="C57" s="99"/>
      <c r="D57" s="99"/>
      <c r="E57" s="99"/>
      <c r="F57" s="99"/>
      <c r="G57" s="99"/>
      <c r="H57" s="99"/>
      <c r="I57" s="99"/>
      <c r="J57" s="99"/>
      <c r="K57" s="99"/>
      <c r="L57" s="99"/>
      <c r="M57" s="99"/>
      <c r="N57" s="99"/>
      <c r="O57" s="99"/>
      <c r="P57" s="99"/>
    </row>
    <row r="58" spans="2:16" ht="7.5" customHeight="1" x14ac:dyDescent="0.35"/>
    <row r="59" spans="2:16" ht="18.75" customHeight="1" x14ac:dyDescent="0.35">
      <c r="B59" s="1" t="s">
        <v>245</v>
      </c>
      <c r="C59" s="1"/>
      <c r="D59" s="1"/>
      <c r="E59" s="1"/>
      <c r="F59" s="1"/>
      <c r="G59" s="1"/>
      <c r="H59" s="1"/>
      <c r="I59" s="1"/>
      <c r="J59" s="1"/>
      <c r="K59" s="1"/>
      <c r="L59" s="1"/>
      <c r="M59" s="1"/>
      <c r="N59" s="1"/>
      <c r="O59" s="1"/>
      <c r="P59" s="1"/>
    </row>
    <row r="60" spans="2:16" ht="15.75" customHeight="1" x14ac:dyDescent="0.35">
      <c r="B60" s="26" t="s">
        <v>246</v>
      </c>
      <c r="C60" s="48"/>
      <c r="D60" s="48"/>
      <c r="E60" s="48"/>
      <c r="F60" s="26" t="s">
        <v>247</v>
      </c>
      <c r="G60" s="48"/>
      <c r="H60" s="48"/>
      <c r="I60" s="48"/>
      <c r="J60" s="48"/>
      <c r="K60" s="48"/>
      <c r="L60" s="60" t="s">
        <v>215</v>
      </c>
      <c r="M60" s="48"/>
      <c r="N60" s="26" t="s">
        <v>248</v>
      </c>
      <c r="O60" s="48"/>
      <c r="P60" s="48"/>
    </row>
    <row r="61" spans="2:16" ht="18" customHeight="1" x14ac:dyDescent="0.35">
      <c r="B61" s="114" t="s">
        <v>249</v>
      </c>
      <c r="C61" s="114"/>
      <c r="D61" s="114"/>
      <c r="E61" s="114"/>
      <c r="F61" s="115" t="str">
        <f>IF($T$9=1,"Incomplete Job Inputs",IFERROR(IF(INDEX($B$10:$B$19,MATCH(LARGE($V$10:$V$19,1),$V$10:$V$19,0))="","(unnamed job)",INDEX($B$10:$B$19,MATCH(LARGE($V$10:$V$19,1),$V$10:$V$19,0))),"—"))</f>
        <v>Riverbend Warehouse Expansion</v>
      </c>
      <c r="G61" s="115"/>
      <c r="H61" s="115"/>
      <c r="I61" s="115"/>
      <c r="J61" s="115"/>
      <c r="K61" s="115"/>
      <c r="L61" s="116">
        <f>IF($T$9=1,"",IFERROR(INDEX($F$10:$F$19,MATCH(LARGE($V$10:$V$19,1),$V$10:$V$19,0)),"—"))</f>
        <v>1316000</v>
      </c>
      <c r="M61" s="116"/>
      <c r="N61" s="117" t="s">
        <v>250</v>
      </c>
      <c r="O61" s="117"/>
      <c r="P61" s="117"/>
    </row>
    <row r="62" spans="2:16" ht="18" customHeight="1" x14ac:dyDescent="0.35">
      <c r="B62" s="118" t="s">
        <v>251</v>
      </c>
      <c r="C62" s="118"/>
      <c r="D62" s="118"/>
      <c r="E62" s="118"/>
      <c r="F62" s="119" t="str">
        <f>IF($T$9=1,"Incomplete Job Inputs",IFERROR(IF(INDEX($P$10:$P$19,MATCH(SMALL($W$10:$W$19,1),$W$10:$W$19,0))-INDEX($K$10:$K$19,MATCH(SMALL($W$10:$W$19,1),$W$10:$W$19,0))&gt;=0,"No completed job below estimate",IF(INDEX($B$10:$B$19,MATCH(SMALL($W$10:$W$19,1),$W$10:$W$19,0))="","(unnamed job)",INDEX($B$10:$B$19,MATCH(SMALL($W$10:$W$19,1),$W$10:$W$19,0)))),"—"))</f>
        <v>Cedar Ridge Multi-Unit Renovation</v>
      </c>
      <c r="G62" s="119"/>
      <c r="H62" s="119"/>
      <c r="I62" s="119"/>
      <c r="J62" s="119"/>
      <c r="K62" s="119"/>
      <c r="L62" s="112">
        <f>IF($T$9=1,"",IFERROR(IF(INDEX($P$10:$P$19,MATCH(SMALL($W$10:$W$19,1),$W$10:$W$19,0))-INDEX($K$10:$K$19,MATCH(SMALL($W$10:$W$19,1),$W$10:$W$19,0))&gt;=0,"",INDEX($P$10:$P$19,MATCH(SMALL($W$10:$W$19,1),$W$10:$W$19,0))-INDEX($K$10:$K$19,MATCH(SMALL($W$10:$W$19,1),$W$10:$W$19,0))),"—"))</f>
        <v>-27000</v>
      </c>
      <c r="M62" s="112"/>
      <c r="N62" s="106" t="s">
        <v>252</v>
      </c>
      <c r="O62" s="106"/>
      <c r="P62" s="106"/>
    </row>
    <row r="63" spans="2:16" ht="18" customHeight="1" x14ac:dyDescent="0.35">
      <c r="B63" s="114" t="s">
        <v>253</v>
      </c>
      <c r="C63" s="114"/>
      <c r="D63" s="114"/>
      <c r="E63" s="114"/>
      <c r="F63" s="115" t="str">
        <f>IF($T$9=1,"Incomplete Job Inputs",IFERROR(IF(INDEX($P$10:$P$19,MATCH(LARGE($W$10:$W$19,1),$W$10:$W$19,0))-INDEX($K$10:$K$19,MATCH(LARGE($W$10:$W$19,1),$W$10:$W$19,0))&lt;=0,"No completed job above estimate",IF(INDEX($B$10:$B$19,MATCH(LARGE($W$10:$W$19,1),$W$10:$W$19,0))="","(unnamed job)",INDEX($B$10:$B$19,MATCH(LARGE($W$10:$W$19,1),$W$10:$W$19,0)))),"—"))</f>
        <v>Harbourview Retail Fit-Out</v>
      </c>
      <c r="G63" s="115"/>
      <c r="H63" s="115"/>
      <c r="I63" s="115"/>
      <c r="J63" s="115"/>
      <c r="K63" s="115"/>
      <c r="L63" s="120">
        <f>IF($T$9=1,"",IFERROR(IF(INDEX($P$10:$P$19,MATCH(LARGE($W$10:$W$19,1),$W$10:$W$19,0))-INDEX($K$10:$K$19,MATCH(LARGE($W$10:$W$19,1),$W$10:$W$19,0))&lt;=0,"",INDEX($P$10:$P$19,MATCH(LARGE($W$10:$W$19,1),$W$10:$W$19,0))-INDEX($K$10:$K$19,MATCH(LARGE($W$10:$W$19,1),$W$10:$W$19,0))),"—"))</f>
        <v>20000</v>
      </c>
      <c r="M63" s="120"/>
      <c r="N63" s="117" t="s">
        <v>254</v>
      </c>
      <c r="O63" s="117"/>
      <c r="P63" s="117"/>
    </row>
    <row r="64" spans="2:16" ht="18" customHeight="1" x14ac:dyDescent="0.35">
      <c r="B64" s="118" t="s">
        <v>255</v>
      </c>
      <c r="C64" s="118"/>
      <c r="D64" s="118"/>
      <c r="E64" s="118"/>
      <c r="F64" s="119" t="str">
        <f>IF($T$9=1,"Incomplete Job Inputs",IFERROR(IF((INDEX($K$10:$K$19,MATCH(LARGE($X$10:$X$19,1),$X$10:$X$19,0))-INDEX($P$10:$P$19,MATCH(LARGE($X$10:$X$19,1),$X$10:$X$19,0)))/INDEX($F$10:$F$19,MATCH(LARGE($X$10:$X$19,1),$X$10:$X$19,0))&lt;=0,"No completed job above estimate",IF(INDEX($B$10:$B$19,MATCH(LARGE($X$10:$X$19,1),$X$10:$X$19,0))="","(unnamed job)",INDEX($B$10:$B$19,MATCH(LARGE($X$10:$X$19,1),$X$10:$X$19,0)))),"—"))</f>
        <v>Willowbrook Tenant Improvements</v>
      </c>
      <c r="G64" s="119"/>
      <c r="H64" s="119"/>
      <c r="I64" s="119"/>
      <c r="J64" s="119"/>
      <c r="K64" s="119"/>
      <c r="L64" s="121">
        <f>IF($T$9=1,"",IFERROR(IF((INDEX($K$10:$K$19,MATCH(LARGE($X$10:$X$19,1),$X$10:$X$19,0))-INDEX($P$10:$P$19,MATCH(LARGE($X$10:$X$19,1),$X$10:$X$19,0)))/INDEX($F$10:$F$19,MATCH(LARGE($X$10:$X$19,1),$X$10:$X$19,0))&lt;=0,"",((INDEX($K$10:$K$19,MATCH(LARGE($X$10:$X$19,1),$X$10:$X$19,0))-INDEX($P$10:$P$19,MATCH(LARGE($X$10:$X$19,1),$X$10:$X$19,0)))/INDEX($F$10:$F$19,MATCH(LARGE($X$10:$X$19,1),$X$10:$X$19,0)))*100),"—"))</f>
        <v>3.3804377944028818</v>
      </c>
      <c r="M64" s="121"/>
      <c r="N64" s="106" t="s">
        <v>256</v>
      </c>
      <c r="O64" s="106"/>
      <c r="P64" s="106"/>
    </row>
    <row r="65" spans="2:16" ht="18" customHeight="1" x14ac:dyDescent="0.35">
      <c r="B65" s="114" t="s">
        <v>257</v>
      </c>
      <c r="C65" s="114"/>
      <c r="D65" s="114"/>
      <c r="E65" s="114"/>
      <c r="F65" s="115" t="str">
        <f>IF($T$9=1,"Incomplete Job Inputs",IFERROR(IF((INDEX($K$10:$K$19,MATCH(SMALL($X$10:$X$19,1),$X$10:$X$19,0))-INDEX($P$10:$P$19,MATCH(SMALL($X$10:$X$19,1),$X$10:$X$19,0)))/INDEX($F$10:$F$19,MATCH(SMALL($X$10:$X$19,1),$X$10:$X$19,0))&gt;=0,"No completed job below estimate",IF(INDEX($B$10:$B$19,MATCH(SMALL($X$10:$X$19,1),$X$10:$X$19,0))="","(unnamed job)",INDEX($B$10:$B$19,MATCH(SMALL($X$10:$X$19,1),$X$10:$X$19,0)))),"—"))</f>
        <v>Northgate Roof Replacement</v>
      </c>
      <c r="G65" s="115"/>
      <c r="H65" s="115"/>
      <c r="I65" s="115"/>
      <c r="J65" s="115"/>
      <c r="K65" s="115"/>
      <c r="L65" s="122">
        <f>IF($T$9=1,"",IFERROR(IF((INDEX($K$10:$K$19,MATCH(SMALL($X$10:$X$19,1),$X$10:$X$19,0))-INDEX($P$10:$P$19,MATCH(SMALL($X$10:$X$19,1),$X$10:$X$19,0)))/INDEX($F$10:$F$19,MATCH(SMALL($X$10:$X$19,1),$X$10:$X$19,0))&gt;=0,"",((INDEX($K$10:$K$19,MATCH(SMALL($X$10:$X$19,1),$X$10:$X$19,0))-INDEX($P$10:$P$19,MATCH(SMALL($X$10:$X$19,1),$X$10:$X$19,0)))/INDEX($F$10:$F$19,MATCH(SMALL($X$10:$X$19,1),$X$10:$X$19,0)))*100),"—"))</f>
        <v>-6.0714285714285712</v>
      </c>
      <c r="M65" s="122"/>
      <c r="N65" s="117" t="s">
        <v>258</v>
      </c>
      <c r="O65" s="117"/>
      <c r="P65" s="117"/>
    </row>
    <row r="66" spans="2:16" ht="25.5" customHeight="1" x14ac:dyDescent="0.35">
      <c r="B66" s="99" t="s">
        <v>259</v>
      </c>
      <c r="C66" s="99"/>
      <c r="D66" s="99"/>
      <c r="E66" s="99"/>
      <c r="F66" s="99"/>
      <c r="G66" s="99"/>
      <c r="H66" s="99"/>
      <c r="I66" s="99"/>
      <c r="J66" s="99"/>
      <c r="K66" s="99"/>
      <c r="L66" s="99"/>
      <c r="M66" s="99"/>
      <c r="N66" s="99"/>
      <c r="O66" s="99"/>
      <c r="P66" s="99"/>
    </row>
    <row r="67" spans="2:16" ht="13.5" customHeight="1" x14ac:dyDescent="0.35">
      <c r="B67" s="100" t="s">
        <v>260</v>
      </c>
      <c r="C67" s="100"/>
      <c r="D67" s="100"/>
      <c r="E67" s="100"/>
      <c r="F67" s="100"/>
      <c r="G67" s="100"/>
      <c r="H67" s="100"/>
      <c r="I67" s="100"/>
      <c r="J67" s="100"/>
      <c r="K67" s="100"/>
      <c r="L67" s="100"/>
      <c r="M67" s="100"/>
      <c r="N67" s="100"/>
      <c r="O67" s="100"/>
      <c r="P67" s="100"/>
    </row>
  </sheetData>
  <sheetProtection sheet="1" formatCells="0" formatColumns="0" formatRows="0"/>
  <mergeCells count="94">
    <mergeCell ref="B67:P67"/>
    <mergeCell ref="B65:E65"/>
    <mergeCell ref="F65:K65"/>
    <mergeCell ref="L65:M65"/>
    <mergeCell ref="N65:P65"/>
    <mergeCell ref="B66:P66"/>
    <mergeCell ref="B63:E63"/>
    <mergeCell ref="F63:K63"/>
    <mergeCell ref="L63:M63"/>
    <mergeCell ref="N63:P63"/>
    <mergeCell ref="B64:E64"/>
    <mergeCell ref="F64:K64"/>
    <mergeCell ref="L64:M64"/>
    <mergeCell ref="N64:P64"/>
    <mergeCell ref="B61:E61"/>
    <mergeCell ref="F61:K61"/>
    <mergeCell ref="L61:M61"/>
    <mergeCell ref="N61:P61"/>
    <mergeCell ref="B62:E62"/>
    <mergeCell ref="F62:K62"/>
    <mergeCell ref="L62:M62"/>
    <mergeCell ref="N62:P62"/>
    <mergeCell ref="B56:E56"/>
    <mergeCell ref="F56:G56"/>
    <mergeCell ref="H56:P56"/>
    <mergeCell ref="B57:P57"/>
    <mergeCell ref="B59:P59"/>
    <mergeCell ref="B54:E54"/>
    <mergeCell ref="F54:G54"/>
    <mergeCell ref="H54:P54"/>
    <mergeCell ref="B55:E55"/>
    <mergeCell ref="F55:G55"/>
    <mergeCell ref="H55:P55"/>
    <mergeCell ref="B52:E52"/>
    <mergeCell ref="F52:G52"/>
    <mergeCell ref="H52:P52"/>
    <mergeCell ref="B53:E53"/>
    <mergeCell ref="F53:G53"/>
    <mergeCell ref="H53:P53"/>
    <mergeCell ref="B50:E50"/>
    <mergeCell ref="F50:G50"/>
    <mergeCell ref="H50:P50"/>
    <mergeCell ref="B51:E51"/>
    <mergeCell ref="F51:G51"/>
    <mergeCell ref="H51:P51"/>
    <mergeCell ref="B48:E48"/>
    <mergeCell ref="F48:G48"/>
    <mergeCell ref="H48:P48"/>
    <mergeCell ref="B49:E49"/>
    <mergeCell ref="F49:G49"/>
    <mergeCell ref="H49:P49"/>
    <mergeCell ref="B43:P43"/>
    <mergeCell ref="B45:P45"/>
    <mergeCell ref="B47:E47"/>
    <mergeCell ref="F47:G47"/>
    <mergeCell ref="H47:P47"/>
    <mergeCell ref="B41:E41"/>
    <mergeCell ref="F41:G41"/>
    <mergeCell ref="H41:P41"/>
    <mergeCell ref="B42:E42"/>
    <mergeCell ref="F42:G42"/>
    <mergeCell ref="H42:P42"/>
    <mergeCell ref="B39:E39"/>
    <mergeCell ref="F39:G39"/>
    <mergeCell ref="H39:P39"/>
    <mergeCell ref="B40:E40"/>
    <mergeCell ref="F40:G40"/>
    <mergeCell ref="H40:P40"/>
    <mergeCell ref="L33:P33"/>
    <mergeCell ref="B34:P34"/>
    <mergeCell ref="B36:P36"/>
    <mergeCell ref="B38:E38"/>
    <mergeCell ref="F38:G38"/>
    <mergeCell ref="H38:P38"/>
    <mergeCell ref="L28:P28"/>
    <mergeCell ref="L29:P29"/>
    <mergeCell ref="L30:P30"/>
    <mergeCell ref="L31:P31"/>
    <mergeCell ref="L32:P32"/>
    <mergeCell ref="B22:P22"/>
    <mergeCell ref="L24:P24"/>
    <mergeCell ref="L25:P25"/>
    <mergeCell ref="L26:P26"/>
    <mergeCell ref="L27:P27"/>
    <mergeCell ref="B7:P7"/>
    <mergeCell ref="D8:F8"/>
    <mergeCell ref="G8:K8"/>
    <mergeCell ref="L8:P8"/>
    <mergeCell ref="B20:P20"/>
    <mergeCell ref="A1:P1"/>
    <mergeCell ref="A2:G2"/>
    <mergeCell ref="H2:P2"/>
    <mergeCell ref="A3:P3"/>
    <mergeCell ref="B5:P5"/>
  </mergeCells>
  <pageMargins left="0.3" right="0.3" top="0.35" bottom="0.35"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2"/>
  <sheetViews>
    <sheetView showGridLines="0" topLeftCell="A25" zoomScaleNormal="100" workbookViewId="0">
      <selection sqref="A1:N1"/>
    </sheetView>
  </sheetViews>
  <sheetFormatPr defaultColWidth="8.6328125" defaultRowHeight="14.5" x14ac:dyDescent="0.35"/>
  <cols>
    <col min="1" max="1" width="2.453125" customWidth="1"/>
    <col min="2" max="2" width="34" customWidth="1"/>
    <col min="3" max="14" width="11.6328125" customWidth="1"/>
    <col min="15" max="15" width="2.453125" customWidth="1"/>
  </cols>
  <sheetData>
    <row r="1" spans="1:14" ht="13.5" customHeight="1" x14ac:dyDescent="0.35">
      <c r="A1" s="14" t="s">
        <v>0</v>
      </c>
      <c r="B1" s="14"/>
      <c r="C1" s="14"/>
      <c r="D1" s="14"/>
      <c r="E1" s="14"/>
      <c r="F1" s="14"/>
      <c r="G1" s="14"/>
      <c r="H1" s="14"/>
      <c r="I1" s="14"/>
      <c r="J1" s="14"/>
      <c r="K1" s="14"/>
      <c r="L1" s="14"/>
      <c r="M1" s="14"/>
      <c r="N1" s="14"/>
    </row>
    <row r="2" spans="1:14" ht="25.5" customHeight="1" x14ac:dyDescent="0.35">
      <c r="A2" s="13" t="s">
        <v>261</v>
      </c>
      <c r="B2" s="13"/>
      <c r="C2" s="13"/>
      <c r="D2" s="13"/>
      <c r="E2" s="13"/>
      <c r="F2" s="13"/>
      <c r="G2" s="3" t="s">
        <v>67</v>
      </c>
      <c r="H2" s="3"/>
      <c r="I2" s="3"/>
      <c r="J2" s="3"/>
      <c r="K2" s="3"/>
      <c r="L2" s="3"/>
      <c r="M2" s="3"/>
      <c r="N2" s="3"/>
    </row>
    <row r="3" spans="1:14" ht="15.75" customHeight="1" x14ac:dyDescent="0.35">
      <c r="A3" s="12" t="s">
        <v>262</v>
      </c>
      <c r="B3" s="12"/>
      <c r="C3" s="12"/>
      <c r="D3" s="12"/>
      <c r="E3" s="12"/>
      <c r="F3" s="12"/>
      <c r="G3" s="12"/>
      <c r="H3" s="12"/>
      <c r="I3" s="12"/>
      <c r="J3" s="12"/>
      <c r="K3" s="12"/>
      <c r="L3" s="12"/>
      <c r="M3" s="12"/>
      <c r="N3" s="12"/>
    </row>
    <row r="4" spans="1:14" ht="7.5" customHeight="1" x14ac:dyDescent="0.35"/>
    <row r="5" spans="1:14" ht="21.75" customHeight="1" x14ac:dyDescent="0.35">
      <c r="B5" s="2" t="s">
        <v>263</v>
      </c>
      <c r="C5" s="2"/>
      <c r="D5" s="2"/>
      <c r="E5" s="2"/>
      <c r="F5" s="2"/>
      <c r="G5" s="2"/>
      <c r="H5" s="2"/>
      <c r="I5" s="2"/>
      <c r="J5" s="2"/>
      <c r="K5" s="2"/>
      <c r="L5" s="2"/>
      <c r="M5" s="2"/>
      <c r="N5" s="2"/>
    </row>
    <row r="6" spans="1:14" ht="7.5" customHeight="1" x14ac:dyDescent="0.35"/>
    <row r="7" spans="1:14" ht="18.75" customHeight="1" x14ac:dyDescent="0.35">
      <c r="B7" s="1" t="s">
        <v>264</v>
      </c>
      <c r="C7" s="1"/>
      <c r="D7" s="1"/>
      <c r="E7" s="1"/>
      <c r="F7" s="1"/>
      <c r="G7" s="1"/>
      <c r="H7" s="1"/>
      <c r="I7" s="1"/>
      <c r="J7" s="1"/>
      <c r="K7" s="1"/>
      <c r="L7" s="1"/>
      <c r="M7" s="1"/>
      <c r="N7" s="1"/>
    </row>
    <row r="8" spans="1:14" ht="19.5" customHeight="1" x14ac:dyDescent="0.35">
      <c r="B8" s="8" t="str">
        <f>'MONTHLY INPUTS'!$D$10</f>
        <v>Reporting month:  Dec 2025      Marked complete.      Profitability inputs: complete.</v>
      </c>
      <c r="C8" s="8"/>
      <c r="D8" s="8"/>
      <c r="E8" s="8"/>
      <c r="F8" s="8"/>
      <c r="G8" s="8"/>
      <c r="H8" s="8"/>
      <c r="I8" s="8"/>
      <c r="J8" s="8"/>
      <c r="K8" s="8"/>
      <c r="L8" s="8"/>
      <c r="M8" s="8"/>
      <c r="N8" s="8"/>
    </row>
    <row r="9" spans="1:14" ht="7.5" customHeight="1" x14ac:dyDescent="0.35"/>
    <row r="10" spans="1:14" ht="18.75" customHeight="1" x14ac:dyDescent="0.35">
      <c r="B10" s="1" t="s">
        <v>265</v>
      </c>
      <c r="C10" s="1"/>
      <c r="D10" s="1"/>
      <c r="E10" s="1"/>
      <c r="F10" s="1"/>
      <c r="G10" s="1"/>
      <c r="H10" s="1"/>
      <c r="I10" s="1"/>
      <c r="J10" s="1"/>
      <c r="K10" s="1"/>
      <c r="L10" s="1"/>
      <c r="M10" s="1"/>
      <c r="N10" s="1"/>
    </row>
    <row r="11" spans="1:14" ht="15.75" customHeight="1" x14ac:dyDescent="0.35">
      <c r="B11" s="26" t="s">
        <v>266</v>
      </c>
      <c r="C11" s="60" t="s">
        <v>267</v>
      </c>
      <c r="D11" s="60" t="s">
        <v>268</v>
      </c>
      <c r="E11" s="60" t="s">
        <v>269</v>
      </c>
      <c r="F11" s="60" t="s">
        <v>270</v>
      </c>
      <c r="G11" s="123" t="s">
        <v>178</v>
      </c>
      <c r="H11" s="123"/>
      <c r="I11" s="124" t="s">
        <v>271</v>
      </c>
      <c r="J11" s="124"/>
      <c r="K11" s="124"/>
      <c r="L11" s="124"/>
      <c r="M11" s="124"/>
      <c r="N11" s="124"/>
    </row>
    <row r="12" spans="1:14" ht="18" customHeight="1" x14ac:dyDescent="0.35">
      <c r="B12" s="61" t="s">
        <v>98</v>
      </c>
      <c r="C12" s="63">
        <f>IF(RepOK=0,"Select Month 1–12",IF(INDEX(RevOK,RepIdx)=0,"Incomplete",INDEX(MRev,RepIdx)))</f>
        <v>518100</v>
      </c>
      <c r="D12" s="63">
        <f>IF(RepOK=0,"N/M",IF(RepIdx&lt;=1,"No Prior",IF(INDEX(RevOK,RepIdx-1)=0,"Incomplete",INDEX(MRev,RepIdx-1))))</f>
        <v>570800</v>
      </c>
      <c r="E12" s="68">
        <f>IF(RepOK=0,"N/M",IF(RepIdx&lt;=1,"No Prior",IF(OR(NOT(ISNUMBER($C$12)),NOT(ISNUMBER($D$12))),"N/M",IF(MoMProv=1,"Provisional",$C$12-$D$12))))</f>
        <v>-52700</v>
      </c>
      <c r="F12" s="63">
        <f>IF(NOT(ISNUMBER(TgtRev)),"Set Target",TgtRev)</f>
        <v>600000</v>
      </c>
      <c r="G12" s="125" t="str">
        <f>IF(RepOK=0,"Select Month 1–12",IF(INDEX(RevOK,RepIdx)=0,"Missing Revenue Inputs",IF(NOT(ISNUMBER($C$12)),$C$12,IF(RepDone=0,"Provisional",IF(NOT(ISNUMBER($F$12)),"Set Target",IF($C$12&gt;$F$12,"Above Target",IF($C$12=$F$12,"At Target","Below Target")))))))</f>
        <v>Below Target</v>
      </c>
      <c r="H12" s="125"/>
      <c r="I12" s="106" t="s">
        <v>272</v>
      </c>
      <c r="J12" s="106"/>
      <c r="K12" s="106"/>
      <c r="L12" s="106"/>
      <c r="M12" s="106"/>
      <c r="N12" s="106"/>
    </row>
    <row r="13" spans="1:14" ht="18" customHeight="1" x14ac:dyDescent="0.35">
      <c r="B13" s="61" t="s">
        <v>273</v>
      </c>
      <c r="C13" s="71">
        <f>IF(RepOK=0,"N/M",IF(RepIdx&lt;=1,"No Prior",IF(OR(NOT(ISNUMBER($C$12)),NOT(ISNUMBER($D$12))),"N/M",IF($D$12=0,"N/M",IF(MoMProv=1,"Provisional",$C$12/$D$12-1)))))</f>
        <v>-9.2326559215136661E-2</v>
      </c>
      <c r="D13" s="71" t="str">
        <f>"—"</f>
        <v>—</v>
      </c>
      <c r="E13" s="71" t="str">
        <f>"—"</f>
        <v>—</v>
      </c>
      <c r="F13" s="71" t="str">
        <f>"—"</f>
        <v>—</v>
      </c>
      <c r="G13" s="125" t="str">
        <f>IF(RepOK=0,"Select Month 1–12",IF(INDEX(RevOK,RepIdx)=0,"Missing Revenue Inputs",IF($C$13="N/M","N/M — No prior revenue",IF(NOT(ISNUMBER($C$13)),$C$13,IF(RepDone=0,"Provisional","Context Dependent")))))</f>
        <v>Context Dependent</v>
      </c>
      <c r="H13" s="125"/>
      <c r="I13" s="106" t="s">
        <v>274</v>
      </c>
      <c r="J13" s="106"/>
      <c r="K13" s="106"/>
      <c r="L13" s="106"/>
      <c r="M13" s="106"/>
      <c r="N13" s="106"/>
    </row>
    <row r="14" spans="1:14" ht="18" customHeight="1" x14ac:dyDescent="0.35">
      <c r="B14" s="61" t="s">
        <v>42</v>
      </c>
      <c r="C14" s="63">
        <f>IF(RepOK=0,"Select Month 1–12",IF(INDEX(GrsOK,RepIdx)=0,"Incomplete",INDEX(MGP,RepIdx)))</f>
        <v>133200</v>
      </c>
      <c r="D14" s="63">
        <f>IF(RepOK=0,"N/M",IF(RepIdx&lt;=1,"No Prior",IF(INDEX(GrsOK,RepIdx-1)=0,"Incomplete",INDEX(MGP,RepIdx-1))))</f>
        <v>142100</v>
      </c>
      <c r="E14" s="68">
        <f>IF(RepOK=0,"N/M",IF(RepIdx&lt;=1,"No Prior",IF(OR(NOT(ISNUMBER($C$14)),NOT(ISNUMBER($D$14))),"N/M",IF(MoMProv=1,"Provisional",$C$14-$D$14))))</f>
        <v>-8900</v>
      </c>
      <c r="F14" s="63" t="str">
        <f>"—"</f>
        <v>—</v>
      </c>
      <c r="G14" s="125" t="str">
        <f>IF(RepOK=0,"Select Month 1–12",IF(INDEX(RevOK,RepIdx)=0,"Missing Revenue Inputs",IF(INDEX(DirOK,RepIdx)=0,"Missing Direct Costs",IF(NOT(ISNUMBER($C$14)),$C$14,IF(RepDone=0,"Provisional","Monitor")))))</f>
        <v>Monitor</v>
      </c>
      <c r="H14" s="125"/>
      <c r="I14" s="106" t="s">
        <v>275</v>
      </c>
      <c r="J14" s="106"/>
      <c r="K14" s="106"/>
      <c r="L14" s="106"/>
      <c r="M14" s="106"/>
      <c r="N14" s="106"/>
    </row>
    <row r="15" spans="1:14" ht="18" customHeight="1" x14ac:dyDescent="0.35">
      <c r="B15" s="64" t="s">
        <v>44</v>
      </c>
      <c r="C15" s="72">
        <f>IF(RepOK=0,"Select Month 1–12",IF(INDEX(GrsOK,RepIdx)=0,"Incomplete",INDEX(MGM,RepIdx)))</f>
        <v>0.25709322524609146</v>
      </c>
      <c r="D15" s="72">
        <f>IF(RepOK=0,"N/M",IF(RepIdx&lt;=1,"No Prior",IF(INDEX(GrsOK,RepIdx-1)=0,"Incomplete",INDEX(MGM,RepIdx-1))))</f>
        <v>0.24894884372810092</v>
      </c>
      <c r="E15" s="73">
        <f>IF(RepOK=0,"N/M",IF(RepIdx&lt;=1,"No Prior",IF(OR(NOT(ISNUMBER($C$15)),NOT(ISNUMBER($D$15))),"N/M",IF(MoMProv=1,"Provisional",($C$15-$D$15)*100))))</f>
        <v>0.81443815179905454</v>
      </c>
      <c r="F15" s="66">
        <f>IF(NOT(ISNUMBER(TgtGM)),"Set Target",TgtGM)</f>
        <v>0.24</v>
      </c>
      <c r="G15" s="125" t="str">
        <f>IF(RepOK=0,"Select Month 1–12",IF(INDEX(RevOK,RepIdx)=0,"Missing Revenue Inputs",IF(INDEX(DirOK,RepIdx)=0,"Missing Direct Costs",IF($C$15="N/M","N/M — Revenue is zero",IF(NOT(ISNUMBER($C$15)),$C$15,IF(RepDone=0,"Provisional",IF(NOT(ISNUMBER($F$15)),"Set Target",IF($C$15&gt;$F$15,"Above Target",IF($C$15=$F$15,"At Target","Below Target")))))))))</f>
        <v>Above Target</v>
      </c>
      <c r="H15" s="125"/>
      <c r="I15" s="106" t="s">
        <v>276</v>
      </c>
      <c r="J15" s="106"/>
      <c r="K15" s="106"/>
      <c r="L15" s="106"/>
      <c r="M15" s="106"/>
      <c r="N15" s="106"/>
    </row>
    <row r="16" spans="1:14" ht="18" customHeight="1" x14ac:dyDescent="0.35">
      <c r="B16" s="61" t="s">
        <v>46</v>
      </c>
      <c r="C16" s="63">
        <f>IF(RepOK=0,"Select Month 1–12",IF(INDEX(PrfOK,RepIdx)=0,"Incomplete",INDEX(MOP,RepIdx)))</f>
        <v>21820</v>
      </c>
      <c r="D16" s="63">
        <f>IF(RepOK=0,"N/M",IF(RepIdx&lt;=1,"No Prior",IF(INDEX(PrfOK,RepIdx-1)=0,"Incomplete",INDEX(MOP,RepIdx-1))))</f>
        <v>35520</v>
      </c>
      <c r="E16" s="68">
        <f>IF(RepOK=0,"N/M",IF(RepIdx&lt;=1,"No Prior",IF(OR(NOT(ISNUMBER($C$16)),NOT(ISNUMBER($D$16))),"N/M",IF(MoMProv=1,"Provisional",$C$16-$D$16))))</f>
        <v>-13700</v>
      </c>
      <c r="F16" s="63" t="str">
        <f>"—"</f>
        <v>—</v>
      </c>
      <c r="G16" s="125" t="str">
        <f>IF(RepOK=0,"Select Month 1–12",IF(INDEX(RevOK,RepIdx)=0,"Missing Revenue Inputs",IF(INDEX(DirOK,RepIdx)=0,"Missing Direct Costs",IF(INDEX(OhOK,RepIdx)=0,"Missing Overhead",IF(NOT(ISNUMBER($C$16)),$C$16,IF(RepDone=0,"Provisional","Monitor"))))))</f>
        <v>Monitor</v>
      </c>
      <c r="H16" s="125"/>
      <c r="I16" s="106" t="s">
        <v>277</v>
      </c>
      <c r="J16" s="106"/>
      <c r="K16" s="106"/>
      <c r="L16" s="106"/>
      <c r="M16" s="106"/>
      <c r="N16" s="106"/>
    </row>
    <row r="17" spans="2:14" ht="18" customHeight="1" x14ac:dyDescent="0.35">
      <c r="B17" s="64" t="s">
        <v>119</v>
      </c>
      <c r="C17" s="72">
        <f>IF(RepOK=0,"Select Month 1–12",IF(INDEX(PrfOK,RepIdx)=0,"Incomplete",INDEX(MOM,RepIdx)))</f>
        <v>4.211542173325613E-2</v>
      </c>
      <c r="D17" s="72">
        <f>IF(RepOK=0,"N/M",IF(RepIdx&lt;=1,"No Prior",IF(INDEX(PrfOK,RepIdx-1)=0,"Incomplete",INDEX(MOM,RepIdx-1))))</f>
        <v>6.2228451296426068E-2</v>
      </c>
      <c r="E17" s="73">
        <f>IF(RepOK=0,"N/M",IF(RepIdx&lt;=1,"No Prior",IF(OR(NOT(ISNUMBER($C$17)),NOT(ISNUMBER($D$17))),"N/M",IF(MoMProv=1,"Provisional",($C$17-$D$17)*100))))</f>
        <v>-2.0113029563169937</v>
      </c>
      <c r="F17" s="66">
        <f>IF(NOT(ISNUMBER(TgtOM)),"Set Target",TgtOM)</f>
        <v>0.06</v>
      </c>
      <c r="G17" s="125" t="str">
        <f>IF(RepOK=0,"Select Month 1–12",IF(INDEX(RevOK,RepIdx)=0,"Missing Revenue Inputs",IF(INDEX(DirOK,RepIdx)=0,"Missing Direct Costs",IF(INDEX(OhOK,RepIdx)=0,"Missing Overhead",IF($C$17="N/M","N/M — Revenue is zero",IF(NOT(ISNUMBER($C$17)),$C$17,IF(RepDone=0,"Provisional",IF(NOT(ISNUMBER($F$17)),"Set Target",IF($C$17&gt;$F$17,"Above Target",IF($C$17=$F$17,"At Target","Below Target"))))))))))</f>
        <v>Below Target</v>
      </c>
      <c r="H17" s="125"/>
      <c r="I17" s="106" t="s">
        <v>278</v>
      </c>
      <c r="J17" s="106"/>
      <c r="K17" s="106"/>
      <c r="L17" s="106"/>
      <c r="M17" s="106"/>
      <c r="N17" s="106"/>
    </row>
    <row r="18" spans="2:14" ht="7.5" customHeight="1" x14ac:dyDescent="0.35"/>
    <row r="19" spans="2:14" ht="18.75" customHeight="1" x14ac:dyDescent="0.35">
      <c r="B19" s="1" t="s">
        <v>279</v>
      </c>
      <c r="C19" s="1"/>
      <c r="D19" s="1"/>
      <c r="E19" s="1"/>
      <c r="F19" s="1"/>
      <c r="G19" s="1"/>
      <c r="H19" s="1"/>
      <c r="I19" s="1"/>
      <c r="J19" s="1"/>
      <c r="K19" s="1"/>
      <c r="L19" s="1"/>
      <c r="M19" s="1"/>
      <c r="N19" s="1"/>
    </row>
    <row r="20" spans="2:14" ht="15.75" customHeight="1" x14ac:dyDescent="0.35">
      <c r="B20" s="26" t="s">
        <v>266</v>
      </c>
      <c r="C20" s="60" t="s">
        <v>267</v>
      </c>
      <c r="D20" s="60" t="s">
        <v>268</v>
      </c>
      <c r="E20" s="60" t="s">
        <v>269</v>
      </c>
      <c r="F20" s="60" t="s">
        <v>270</v>
      </c>
      <c r="G20" s="123" t="s">
        <v>178</v>
      </c>
      <c r="H20" s="123"/>
      <c r="I20" s="124" t="s">
        <v>271</v>
      </c>
      <c r="J20" s="124"/>
      <c r="K20" s="124"/>
      <c r="L20" s="124"/>
      <c r="M20" s="124"/>
      <c r="N20" s="124"/>
    </row>
    <row r="21" spans="2:14" ht="18" customHeight="1" x14ac:dyDescent="0.35">
      <c r="B21" s="61" t="s">
        <v>280</v>
      </c>
      <c r="C21" s="67">
        <f>IF(RepOK=0,"Select Month 1–12",IF(INDEX(GrsOK,RepIdx)=0,"Incomplete",IF(INDEX(MRev,RepIdx)=0,"N/M",INDEX(MLab,RepIdx)/INDEX(MRev,RepIdx))))</f>
        <v>0.23103647944412276</v>
      </c>
      <c r="D21" s="67">
        <f>IF(RepOK=0,"N/M",IF(RepIdx&lt;=1,"No Prior",IF(INDEX(GrsOK,RepIdx-1)=0,"Incomplete",IF(INDEX(MRev,RepIdx-1)=0,"N/M",INDEX(MLab,RepIdx-1)/INDEX(MRev,RepIdx-1)))))</f>
        <v>0.23055360896986685</v>
      </c>
      <c r="E21" s="70">
        <f>IF(RepOK=0,"N/M",IF(RepIdx&lt;=1,"No Prior",IF(OR(NOT(ISNUMBER($C$21)),NOT(ISNUMBER($D$21))),"N/M",IF(MoMProv=1,"Provisional",($C$21-$D$21)*100))))</f>
        <v>4.8287047425590868E-2</v>
      </c>
      <c r="F21" s="67">
        <f>IF(NOT(ISNUMBER(TgtLab)),"Set Target",TgtLab)</f>
        <v>0.23</v>
      </c>
      <c r="G21" s="125" t="str">
        <f>IF(RepOK=0,"Select Month 1–12",IF(INDEX(RevOK,RepIdx)=0,"Missing Revenue Inputs",IF(INDEX(DirOK,RepIdx)=0,"Missing Direct Costs",IF($C$21="N/M","N/M — Revenue is zero",IF(NOT(ISNUMBER($C$21)),$C$21,IF(RepDone=0,"Provisional",IF(NOT(ISNUMBER($F$21)),"Set Target",IF($C$21&gt;$F$21,"Above Target",IF($C$21=$F$21,"At Target","Below Target")))))))))</f>
        <v>Above Target</v>
      </c>
      <c r="H21" s="125"/>
      <c r="I21" s="106" t="s">
        <v>281</v>
      </c>
      <c r="J21" s="106"/>
      <c r="K21" s="106"/>
      <c r="L21" s="106"/>
      <c r="M21" s="106"/>
      <c r="N21" s="106"/>
    </row>
    <row r="22" spans="2:14" ht="18" customHeight="1" x14ac:dyDescent="0.35">
      <c r="B22" s="61" t="s">
        <v>282</v>
      </c>
      <c r="C22" s="67">
        <f>IF(RepOK=0,"Select Month 1–12",IF(INDEX(GrsOK,RepIdx)=0,"Incomplete",IF(INDEX(MRev,RepIdx)=0,"N/M",INDEX(MSub,RepIdx)/INDEX(MRev,RepIdx))))</f>
        <v>0.26076047095155375</v>
      </c>
      <c r="D22" s="67">
        <f>IF(RepOK=0,"N/M",IF(RepIdx&lt;=1,"No Prior",IF(INDEX(GrsOK,RepIdx-1)=0,"Incomplete",IF(INDEX(MRev,RepIdx-1)=0,"N/M",INDEX(MSub,RepIdx-1)/INDEX(MRev,RepIdx-1)))))</f>
        <v>0.26664330763840222</v>
      </c>
      <c r="E22" s="70">
        <f>IF(RepOK=0,"N/M",IF(RepIdx&lt;=1,"No Prior",IF(OR(NOT(ISNUMBER($C$22)),NOT(ISNUMBER($D$22))),"N/M",IF(MoMProv=1,"Provisional",($C$22-$D$22)*100))))</f>
        <v>-0.58828366868484694</v>
      </c>
      <c r="F22" s="67">
        <f>IF(NOT(ISNUMBER(TgtSub)),"Set Target",TgtSub)</f>
        <v>0.28000000000000003</v>
      </c>
      <c r="G22" s="125" t="str">
        <f>IF(RepOK=0,"Select Month 1–12",IF(INDEX(RevOK,RepIdx)=0,"Missing Revenue Inputs",IF(INDEX(DirOK,RepIdx)=0,"Missing Direct Costs",IF($C$22="N/M","N/M — Revenue is zero",IF(NOT(ISNUMBER($C$22)),$C$22,IF(RepDone=0,"Provisional",IF(NOT(ISNUMBER($F$22)),"Set Target",IF($C$22&gt;$F$22,"Above Target",IF($C$22=$F$22,"At Target","Below Target")))))))))</f>
        <v>Below Target</v>
      </c>
      <c r="H22" s="125"/>
      <c r="I22" s="106" t="s">
        <v>283</v>
      </c>
      <c r="J22" s="106"/>
      <c r="K22" s="106"/>
      <c r="L22" s="106"/>
      <c r="M22" s="106"/>
      <c r="N22" s="106"/>
    </row>
    <row r="23" spans="2:14" ht="18" customHeight="1" x14ac:dyDescent="0.35">
      <c r="B23" s="61" t="s">
        <v>284</v>
      </c>
      <c r="C23" s="67">
        <f>IF(RepOK=0,"Select Month 1–12",IF(INDEX(GrsOK,RepIdx)=0,"Incomplete",IF(INDEX(MRev,RepIdx)=0,"N/M",INDEX(MMat,RepIdx)/INDEX(MRev,RepIdx))))</f>
        <v>0.20208453966415749</v>
      </c>
      <c r="D23" s="67">
        <f>IF(RepOK=0,"N/M",IF(RepIdx&lt;=1,"No Prior",IF(INDEX(GrsOK,RepIdx-1)=0,"Incomplete",IF(INDEX(MRev,RepIdx-1)=0,"N/M",INDEX(MMat,RepIdx-1)/INDEX(MRev,RepIdx-1)))))</f>
        <v>0.20357393132445689</v>
      </c>
      <c r="E23" s="70">
        <f>IF(RepOK=0,"N/M",IF(RepIdx&lt;=1,"No Prior",IF(OR(NOT(ISNUMBER($C$23)),NOT(ISNUMBER($D$23))),"N/M",IF(MoMProv=1,"Provisional",($C$23-$D$23)*100))))</f>
        <v>-0.14893916602994051</v>
      </c>
      <c r="F23" s="67">
        <f>IF(NOT(ISNUMBER(TgtMat)),"Set Target",TgtMat)</f>
        <v>0.2</v>
      </c>
      <c r="G23" s="125" t="str">
        <f>IF(RepOK=0,"Select Month 1–12",IF(INDEX(RevOK,RepIdx)=0,"Missing Revenue Inputs",IF(INDEX(DirOK,RepIdx)=0,"Missing Direct Costs",IF($C$23="N/M","N/M — Revenue is zero",IF(NOT(ISNUMBER($C$23)),$C$23,IF(RepDone=0,"Provisional",IF(NOT(ISNUMBER($F$23)),"Set Target",IF($C$23&gt;$F$23,"Above Target",IF($C$23=$F$23,"At Target","Below Target")))))))))</f>
        <v>Above Target</v>
      </c>
      <c r="H23" s="125"/>
      <c r="I23" s="106" t="s">
        <v>285</v>
      </c>
      <c r="J23" s="106"/>
      <c r="K23" s="106"/>
      <c r="L23" s="106"/>
      <c r="M23" s="106"/>
      <c r="N23" s="106"/>
    </row>
    <row r="24" spans="2:14" ht="18" customHeight="1" x14ac:dyDescent="0.35">
      <c r="B24" s="61" t="s">
        <v>286</v>
      </c>
      <c r="C24" s="67">
        <f>IF(RepOK=0,"Select Month 1–12",IF(INDEX(GrsOK,RepIdx)=0,"Incomplete",IF(INDEX(MRev,RepIdx)=0,"N/M",INDEX(MDC,RepIdx)/INDEX(MRev,RepIdx))))</f>
        <v>0.74290677475390854</v>
      </c>
      <c r="D24" s="67">
        <f>IF(RepOK=0,"N/M",IF(RepIdx&lt;=1,"No Prior",IF(INDEX(GrsOK,RepIdx-1)=0,"Incomplete",IF(INDEX(MRev,RepIdx-1)=0,"N/M",INDEX(MDC,RepIdx-1)/INDEX(MRev,RepIdx-1)))))</f>
        <v>0.75105115627189911</v>
      </c>
      <c r="E24" s="70">
        <f>IF(RepOK=0,"N/M",IF(RepIdx&lt;=1,"No Prior",IF(OR(NOT(ISNUMBER($C$24)),NOT(ISNUMBER($D$24))),"N/M",IF(MoMProv=1,"Provisional",($C$24-$D$24)*100))))</f>
        <v>-0.81443815179905732</v>
      </c>
      <c r="F24" s="67">
        <f>IF(NOT(ISNUMBER(TgtDC)),"Set Target",TgtDC)</f>
        <v>0.76</v>
      </c>
      <c r="G24" s="125" t="str">
        <f>IF(RepOK=0,"Select Month 1–12",IF(INDEX(RevOK,RepIdx)=0,"Missing Revenue Inputs",IF(INDEX(DirOK,RepIdx)=0,"Missing Direct Costs",IF($C$24="N/M","N/M — Revenue is zero",IF(NOT(ISNUMBER($C$24)),$C$24,IF(RepDone=0,"Provisional",IF(NOT(ISNUMBER($F$24)),"Set Target",IF($C$24&gt;$F$24,"Above Target",IF($C$24=$F$24,"At Target","Below Target")))))))))</f>
        <v>Below Target</v>
      </c>
      <c r="H24" s="125"/>
      <c r="I24" s="106" t="s">
        <v>287</v>
      </c>
      <c r="J24" s="106"/>
      <c r="K24" s="106"/>
      <c r="L24" s="106"/>
      <c r="M24" s="106"/>
      <c r="N24" s="106"/>
    </row>
    <row r="25" spans="2:14" ht="18" customHeight="1" x14ac:dyDescent="0.35">
      <c r="B25" s="61" t="s">
        <v>288</v>
      </c>
      <c r="C25" s="67">
        <f>IF(RepOK=0,"Select Month 1–12",IF(INDEX(PrfOK,RepIdx)=0,"Incomplete",IF(INDEX(MRev,RepIdx)=0,"N/M",INDEX(MOH,RepIdx)/INDEX(MRev,RepIdx))))</f>
        <v>0.21497780351283535</v>
      </c>
      <c r="D25" s="67">
        <f>IF(RepOK=0,"N/M",IF(RepIdx&lt;=1,"No Prior",IF(INDEX(PrfOK,RepIdx-1)=0,"Incomplete",IF(INDEX(MRev,RepIdx-1)=0,"N/M",INDEX(MOH,RepIdx-1)/INDEX(MRev,RepIdx-1)))))</f>
        <v>0.18672039243167485</v>
      </c>
      <c r="E25" s="70">
        <f>IF(RepOK=0,"N/M",IF(RepIdx&lt;=1,"No Prior",IF(OR(NOT(ISNUMBER($C$25)),NOT(ISNUMBER($D$25))),"N/M",IF(MoMProv=1,"Provisional",($C$25-$D$25)*100))))</f>
        <v>2.8257411081160506</v>
      </c>
      <c r="F25" s="67">
        <f>IF(NOT(ISNUMBER(TgtOH)),"Set Target",TgtOH)</f>
        <v>0.18</v>
      </c>
      <c r="G25" s="125" t="str">
        <f>IF(RepOK=0,"Select Month 1–12",IF(INDEX(RevOK,RepIdx)=0,"Missing Revenue Inputs",IF(INDEX(OhOK,RepIdx)=0,"Missing Overhead",IF($C$25="N/M","N/M — Revenue is zero",IF(NOT(ISNUMBER($C$25)),$C$25,IF(RepDone=0,"Provisional",IF(NOT(ISNUMBER($F$25)),"Set Target",IF($C$25&gt;$F$25,"Above Target",IF($C$25=$F$25,"At Target","Below Target")))))))))</f>
        <v>Above Target</v>
      </c>
      <c r="H25" s="125"/>
      <c r="I25" s="106" t="s">
        <v>289</v>
      </c>
      <c r="J25" s="106"/>
      <c r="K25" s="106"/>
      <c r="L25" s="106"/>
      <c r="M25" s="106"/>
      <c r="N25" s="106"/>
    </row>
    <row r="26" spans="2:14" ht="18" customHeight="1" x14ac:dyDescent="0.35">
      <c r="B26" s="99" t="s">
        <v>290</v>
      </c>
      <c r="C26" s="99"/>
      <c r="D26" s="99"/>
      <c r="E26" s="99"/>
      <c r="F26" s="99"/>
      <c r="G26" s="99"/>
      <c r="H26" s="99"/>
      <c r="I26" s="99"/>
      <c r="J26" s="99"/>
      <c r="K26" s="99"/>
      <c r="L26" s="99"/>
      <c r="M26" s="99"/>
      <c r="N26" s="99"/>
    </row>
    <row r="27" spans="2:14" ht="7.5" customHeight="1" x14ac:dyDescent="0.35"/>
    <row r="28" spans="2:14" ht="18.75" customHeight="1" x14ac:dyDescent="0.35">
      <c r="B28" s="1" t="s">
        <v>124</v>
      </c>
      <c r="C28" s="1"/>
      <c r="D28" s="1"/>
      <c r="E28" s="1"/>
      <c r="F28" s="1"/>
      <c r="G28" s="1"/>
      <c r="H28" s="1"/>
      <c r="I28" s="1"/>
      <c r="J28" s="1"/>
      <c r="K28" s="1"/>
      <c r="L28" s="1"/>
      <c r="M28" s="1"/>
      <c r="N28" s="1"/>
    </row>
    <row r="29" spans="2:14" ht="15.75" customHeight="1" x14ac:dyDescent="0.35">
      <c r="B29" s="26" t="s">
        <v>266</v>
      </c>
      <c r="C29" s="60" t="s">
        <v>267</v>
      </c>
      <c r="D29" s="60" t="s">
        <v>268</v>
      </c>
      <c r="E29" s="60" t="s">
        <v>269</v>
      </c>
      <c r="F29" s="60" t="s">
        <v>270</v>
      </c>
      <c r="G29" s="123" t="s">
        <v>178</v>
      </c>
      <c r="H29" s="123"/>
      <c r="I29" s="124" t="s">
        <v>271</v>
      </c>
      <c r="J29" s="124"/>
      <c r="K29" s="124"/>
      <c r="L29" s="124"/>
      <c r="M29" s="124"/>
      <c r="N29" s="124"/>
    </row>
    <row r="30" spans="2:14" ht="18" customHeight="1" x14ac:dyDescent="0.35">
      <c r="B30" s="64" t="s">
        <v>291</v>
      </c>
      <c r="C30" s="74">
        <f>IF(RepOK=0,"Select Month 1–12",IF(INDEX(WcOK,RepIdx)=0,"Incomplete",INDEX(MCash,RepIdx)))</f>
        <v>487000</v>
      </c>
      <c r="D30" s="74">
        <f>IF(RepOK=0,"N/M",IF(RepIdx&lt;=1,"No Prior",IF(INDEX(WcOK,RepIdx-1)=0,"Incomplete",INDEX(MCash,RepIdx-1))))</f>
        <v>458000</v>
      </c>
      <c r="E30" s="75">
        <f>IF(RepOK=0,"N/M",IF(RepIdx&lt;=1,"No Prior",IF(OR(NOT(ISNUMBER($C$30)),NOT(ISNUMBER($D$30))),"N/M",IF(MoMProv=1,"Provisional",$C$30-$D$30))))</f>
        <v>29000</v>
      </c>
      <c r="F30" s="65">
        <f>IF(NOT(ISNUMBER(TgtCash)),"Set Target",TgtCash)</f>
        <v>350000</v>
      </c>
      <c r="G30" s="125" t="str">
        <f>IF(RepOK=0,"Select Month 1–12",IF(INDEX(WcOK,RepIdx)=0,"Missing Working Capital",IF(NOT(ISNUMBER($C$30)),$C$30,IF(RepDone=0,"Provisional",IF(NOT(ISNUMBER($F$30)),"Set Target",IF($C$30&gt;$F$30,"Above Minimum",IF($C$30=$F$30,"At Minimum","Below Minimum")))))))</f>
        <v>Above Minimum</v>
      </c>
      <c r="H30" s="125"/>
      <c r="I30" s="106" t="s">
        <v>292</v>
      </c>
      <c r="J30" s="106"/>
      <c r="K30" s="106"/>
      <c r="L30" s="106"/>
      <c r="M30" s="106"/>
      <c r="N30" s="106"/>
    </row>
    <row r="31" spans="2:14" ht="18" customHeight="1" x14ac:dyDescent="0.35">
      <c r="B31" s="61" t="s">
        <v>126</v>
      </c>
      <c r="C31" s="63">
        <f>IF(RepOK=0,"Select Month 1–12",IF(INDEX(WcOK,RepIdx)=0,"Incomplete",INDEX(MAR,RepIdx)))</f>
        <v>903000</v>
      </c>
      <c r="D31" s="63">
        <f>IF(RepOK=0,"N/M",IF(RepIdx&lt;=1,"No Prior",IF(INDEX(WcOK,RepIdx-1)=0,"Incomplete",INDEX(MAR,RepIdx-1))))</f>
        <v>1033000</v>
      </c>
      <c r="E31" s="68">
        <f>IF(RepOK=0,"N/M",IF(RepIdx&lt;=1,"No Prior",IF(OR(NOT(ISNUMBER($C$31)),NOT(ISNUMBER($D$31))),"N/M",IF(MoMProv=1,"Provisional",$C$31-$D$31))))</f>
        <v>-130000</v>
      </c>
      <c r="F31" s="63" t="str">
        <f>"—"</f>
        <v>—</v>
      </c>
      <c r="G31" s="125" t="str">
        <f>IF(RepOK=0,"Select Month 1–12",IF(INDEX(WcOK,RepIdx)=0,"Missing Working Capital",IF(NOT(ISNUMBER($C$31)),$C$31,IF(RepDone=0,"Provisional","Monitor"))))</f>
        <v>Monitor</v>
      </c>
      <c r="H31" s="125"/>
      <c r="I31" s="106" t="s">
        <v>293</v>
      </c>
      <c r="J31" s="106"/>
      <c r="K31" s="106"/>
      <c r="L31" s="106"/>
      <c r="M31" s="106"/>
      <c r="N31" s="106"/>
    </row>
    <row r="32" spans="2:14" ht="18" customHeight="1" x14ac:dyDescent="0.35">
      <c r="B32" s="61" t="s">
        <v>127</v>
      </c>
      <c r="C32" s="63">
        <f>IF(RepOK=0,"Select Month 1–12",IF(INDEX(WcOK,RepIdx)=0,"Incomplete",INDEX(MAP,RepIdx)))</f>
        <v>470000</v>
      </c>
      <c r="D32" s="63">
        <f>IF(RepOK=0,"N/M",IF(RepIdx&lt;=1,"No Prior",IF(INDEX(WcOK,RepIdx-1)=0,"Incomplete",INDEX(MAP,RepIdx-1))))</f>
        <v>537000</v>
      </c>
      <c r="E32" s="68">
        <f>IF(RepOK=0,"N/M",IF(RepIdx&lt;=1,"No Prior",IF(OR(NOT(ISNUMBER($C$32)),NOT(ISNUMBER($D$32))),"N/M",IF(MoMProv=1,"Provisional",$C$32-$D$32))))</f>
        <v>-67000</v>
      </c>
      <c r="F32" s="63" t="str">
        <f>"—"</f>
        <v>—</v>
      </c>
      <c r="G32" s="125" t="str">
        <f>IF(RepOK=0,"Select Month 1–12",IF(INDEX(WcOK,RepIdx)=0,"Missing Working Capital",IF(NOT(ISNUMBER($C$32)),$C$32,IF(RepDone=0,"Provisional","Monitor"))))</f>
        <v>Monitor</v>
      </c>
      <c r="H32" s="125"/>
      <c r="I32" s="106" t="s">
        <v>294</v>
      </c>
      <c r="J32" s="106"/>
      <c r="K32" s="106"/>
      <c r="L32" s="106"/>
      <c r="M32" s="106"/>
      <c r="N32" s="106"/>
    </row>
    <row r="33" spans="2:14" ht="18" customHeight="1" x14ac:dyDescent="0.35">
      <c r="B33" s="61" t="s">
        <v>60</v>
      </c>
      <c r="C33" s="76">
        <f>IF(RepOK=0,"Select Month 1–12",IF(INDEX(WcOK,RepIdx)=0,"Incomplete",IF(INDEX(MCL,RepIdx)=0,"N/M",INDEX(MCA,RepIdx)/INDEX(MCL,RepIdx))))</f>
        <v>1.7890137328339575</v>
      </c>
      <c r="D33" s="76">
        <f>IF(RepOK=0,"N/M",IF(RepIdx&lt;=1,"No Prior",IF(INDEX(WcOK,RepIdx-1)=0,"Incomplete",IF(INDEX(MCL,RepIdx-1)=0,"N/M",INDEX(MCA,RepIdx-1)/INDEX(MCL,RepIdx-1)))))</f>
        <v>1.740656851642129</v>
      </c>
      <c r="E33" s="77">
        <f>IF(RepOK=0,"N/M",IF(RepIdx&lt;=1,"No Prior",IF(OR(NOT(ISNUMBER($C$33)),NOT(ISNUMBER($D$33))),"N/M",IF(MoMProv=1,"Provisional",$C$33-$D$33))))</f>
        <v>4.835688119182846E-2</v>
      </c>
      <c r="F33" s="76" t="str">
        <f>"—"</f>
        <v>—</v>
      </c>
      <c r="G33" s="125" t="str">
        <f>IF(RepOK=0,"Select Month 1–12",IF(INDEX(WcOK,RepIdx)=0,"Missing Working Capital",IF($C$33="N/M","N/M — No liabilities",IF(NOT(ISNUMBER($C$33)),$C$33,IF(RepDone=0,"Provisional","Context Dependent")))))</f>
        <v>Context Dependent</v>
      </c>
      <c r="H33" s="125"/>
      <c r="I33" s="106" t="s">
        <v>295</v>
      </c>
      <c r="J33" s="106"/>
      <c r="K33" s="106"/>
      <c r="L33" s="106"/>
      <c r="M33" s="106"/>
      <c r="N33" s="106"/>
    </row>
    <row r="34" spans="2:14" ht="18" customHeight="1" x14ac:dyDescent="0.35">
      <c r="B34" s="64" t="s">
        <v>56</v>
      </c>
      <c r="C34" s="78">
        <f>IF(RepOK=0,"Select Month 1–12",IF(OR(INDEX(WcOK,RepIdx)=0,INDEX(RevOK,RepIdx)=0),"Incomplete",IF(INDEX(MRev,RepIdx)=0,"N/M",INDEX(MAR,RepIdx)/INDEX(MRev,RepIdx)*30.4)))</f>
        <v>52.984365952518814</v>
      </c>
      <c r="D34" s="78">
        <f>IF(RepOK=0,"N/M",IF(RepIdx&lt;=1,"No Prior",IF(OR(INDEX(WcOK,RepIdx-1)=0,INDEX(RevOK,RepIdx-1)=0),"Incomplete",IF(INDEX(MRev,RepIdx-1)=0,"N/M",INDEX(MAR,RepIdx-1)/INDEX(MRev,RepIdx-1)*30.4))))</f>
        <v>55.016117729502454</v>
      </c>
      <c r="E34" s="79">
        <f>IF(RepOK=0,"N/M",IF(RepIdx&lt;=1,"No Prior",IF(OR(NOT(ISNUMBER($C$34)),NOT(ISNUMBER($D$34))),"N/M",IF(MoMProv=1,"Provisional",$C$34-$D$34))))</f>
        <v>-2.03175177698364</v>
      </c>
      <c r="F34" s="80">
        <f>IF(NOT(ISNUMBER(TgtARD)),"Set Target",TgtARD)</f>
        <v>55</v>
      </c>
      <c r="G34" s="125" t="str">
        <f>IF(RepOK=0,"Select Month 1–12",IF(INDEX(WcOK,RepIdx)=0,"Missing Working Capital",IF(INDEX(RevOK,RepIdx)=0,"Missing Revenue Inputs",IF($C$34="N/M","N/M — Revenue is zero",IF(NOT(ISNUMBER($C$34)),$C$34,IF(RepDone=0,"Provisional",IF(NOT(ISNUMBER($F$34)),"Set Target",IF($C$34&gt;$F$34,"Above Target",IF($C$34=$F$34,"At Target","Below Target")))))))))</f>
        <v>Below Target</v>
      </c>
      <c r="H34" s="125"/>
      <c r="I34" s="106" t="s">
        <v>296</v>
      </c>
      <c r="J34" s="106"/>
      <c r="K34" s="106"/>
      <c r="L34" s="106"/>
      <c r="M34" s="106"/>
      <c r="N34" s="106"/>
    </row>
    <row r="35" spans="2:14" ht="18" customHeight="1" x14ac:dyDescent="0.35">
      <c r="B35" s="61" t="s">
        <v>297</v>
      </c>
      <c r="C35" s="76">
        <f>IF(RepOK=0,"Select Month 1–12",IF(OR(INDEX(WcOK,RepIdx)=0,INDEX(PrfOK,RepIdx)=0),"Incomplete",IF(INDEX(MDC,RepIdx)+INDEX(MOH,RepIdx)=0,"N/M",INDEX(MCash,RepIdx)/(INDEX(MDC,RepIdx)+INDEX(MOH,RepIdx)))))</f>
        <v>0.98130087853631009</v>
      </c>
      <c r="D35" s="76">
        <f>IF(RepOK=0,"N/M",IF(RepIdx&lt;=1,"No Prior",IF(OR(INDEX(WcOK,RepIdx-1)=0,INDEX(PrfOK,RepIdx-1)=0),"Incomplete",IF(INDEX(MDC,RepIdx-1)+INDEX(MOH,RepIdx-1)=0,"N/M",INDEX(MCash,RepIdx-1)/(INDEX(MDC,RepIdx-1)+INDEX(MOH,RepIdx-1))))))</f>
        <v>0.8556269615901958</v>
      </c>
      <c r="E35" s="77">
        <f>IF(RepOK=0,"N/M",IF(RepIdx&lt;=1,"No Prior",IF(OR(NOT(ISNUMBER($C$35)),NOT(ISNUMBER($D$35))),"N/M",IF(MoMProv=1,"Provisional",$C$35-$D$35))))</f>
        <v>0.12567391694611429</v>
      </c>
      <c r="F35" s="76">
        <f>IF(NOT(ISNUMBER(TgtCov)),"Set Target",TgtCov)</f>
        <v>0.75</v>
      </c>
      <c r="G35" s="125" t="str">
        <f>IF(RepOK=0,"Select Month 1–12",IF(INDEX(WcOK,RepIdx)=0,"Missing Working Capital",IF(INDEX(DirOK,RepIdx)=0,"Missing Direct Costs",IF(INDEX(OhOK,RepIdx)=0,"Missing Overhead",IF($C$35="N/M","N/M — No cost in month",IF(NOT(ISNUMBER($C$35)),$C$35,IF(RepDone=0,"Provisional",IF(NOT(ISNUMBER($F$35)),"Set Target",IF($C$35&gt;$F$35,"Above Target",IF($C$35=$F$35,"At Target","Below Target"))))))))))</f>
        <v>Above Target</v>
      </c>
      <c r="H35" s="125"/>
      <c r="I35" s="106" t="s">
        <v>298</v>
      </c>
      <c r="J35" s="106"/>
      <c r="K35" s="106"/>
      <c r="L35" s="106"/>
      <c r="M35" s="106"/>
      <c r="N35" s="106"/>
    </row>
    <row r="36" spans="2:14" ht="7.5" customHeight="1" x14ac:dyDescent="0.35"/>
    <row r="37" spans="2:14" ht="18.75" customHeight="1" x14ac:dyDescent="0.35">
      <c r="B37" s="1" t="s">
        <v>299</v>
      </c>
      <c r="C37" s="1"/>
      <c r="D37" s="1"/>
      <c r="E37" s="1"/>
      <c r="F37" s="1"/>
      <c r="G37" s="1"/>
      <c r="H37" s="1"/>
      <c r="I37" s="1"/>
      <c r="J37" s="1"/>
      <c r="K37" s="1"/>
      <c r="L37" s="1"/>
      <c r="M37" s="1"/>
      <c r="N37" s="1"/>
    </row>
    <row r="38" spans="2:14" ht="15.75" customHeight="1" x14ac:dyDescent="0.35">
      <c r="B38" s="26" t="s">
        <v>266</v>
      </c>
      <c r="C38" s="60" t="s">
        <v>267</v>
      </c>
      <c r="D38" s="60" t="s">
        <v>268</v>
      </c>
      <c r="E38" s="60" t="s">
        <v>269</v>
      </c>
      <c r="F38" s="60" t="s">
        <v>270</v>
      </c>
      <c r="G38" s="123" t="s">
        <v>178</v>
      </c>
      <c r="H38" s="123"/>
      <c r="I38" s="124" t="s">
        <v>271</v>
      </c>
      <c r="J38" s="124"/>
      <c r="K38" s="124"/>
      <c r="L38" s="124"/>
      <c r="M38" s="124"/>
      <c r="N38" s="124"/>
    </row>
    <row r="39" spans="2:14" ht="18" customHeight="1" x14ac:dyDescent="0.35">
      <c r="B39" s="61" t="s">
        <v>133</v>
      </c>
      <c r="C39" s="62">
        <f>IF(RepOK=0,"Select Month 1–12",IF(NOT(ISNUMBER(INDEX(MJobC,RepIdx))),"Incomplete",INDEX(MJobC,RepIdx)))</f>
        <v>4</v>
      </c>
      <c r="D39" s="62">
        <f>IF(RepOK=0,"N/M",IF(RepIdx&lt;=1,"No Prior",IF(NOT(ISNUMBER(INDEX(MJobC,RepIdx-1))),"Incomplete",INDEX(MJobC,RepIdx-1))))</f>
        <v>5</v>
      </c>
      <c r="E39" s="77">
        <f>IF(RepOK=0,"N/M",IF(RepIdx&lt;=1,"No Prior",IF(OR(NOT(ISNUMBER($C$39)),NOT(ISNUMBER($D$39))),"N/M",IF(MoMProv=1,"Provisional",$C$39-$D$39))))</f>
        <v>-1</v>
      </c>
      <c r="F39" s="62" t="str">
        <f>"—"</f>
        <v>—</v>
      </c>
      <c r="G39" s="125" t="str">
        <f>IF(RepOK=0,"Select Month 1–12",IF($C$39="Incomplete","Missing Activity Input",IF(NOT(ISNUMBER($C$39)),$C$39,IF(RepDone=0,"Provisional","Monitor"))))</f>
        <v>Monitor</v>
      </c>
      <c r="H39" s="125"/>
      <c r="I39" s="106" t="s">
        <v>300</v>
      </c>
      <c r="J39" s="106"/>
      <c r="K39" s="106"/>
      <c r="L39" s="106"/>
      <c r="M39" s="106"/>
      <c r="N39" s="106"/>
    </row>
    <row r="40" spans="2:14" ht="18" customHeight="1" x14ac:dyDescent="0.35">
      <c r="B40" s="61" t="s">
        <v>301</v>
      </c>
      <c r="C40" s="62">
        <f>IF(RepOK=0,"Select Month 1–12",IF(NOT(ISNUMBER(INDEX(MJobP,RepIdx))),"Incomplete",INDEX(MJobP,RepIdx)))</f>
        <v>7</v>
      </c>
      <c r="D40" s="62">
        <f>IF(RepOK=0,"N/M",IF(RepIdx&lt;=1,"No Prior",IF(NOT(ISNUMBER(INDEX(MJobP,RepIdx-1))),"Incomplete",INDEX(MJobP,RepIdx-1))))</f>
        <v>7</v>
      </c>
      <c r="E40" s="77">
        <f>IF(RepOK=0,"N/M",IF(RepIdx&lt;=1,"No Prior",IF(OR(NOT(ISNUMBER($C$40)),NOT(ISNUMBER($D$40))),"N/M",IF(MoMProv=1,"Provisional",$C$40-$D$40))))</f>
        <v>0</v>
      </c>
      <c r="F40" s="62" t="str">
        <f>"—"</f>
        <v>—</v>
      </c>
      <c r="G40" s="125" t="str">
        <f>IF(RepOK=0,"Select Month 1–12",IF($C$40="Incomplete","Missing Activity Input",IF(NOT(ISNUMBER($C$40)),$C$40,IF(RepDone=0,"Provisional","Context Dependent"))))</f>
        <v>Context Dependent</v>
      </c>
      <c r="H40" s="125"/>
      <c r="I40" s="106" t="s">
        <v>302</v>
      </c>
      <c r="J40" s="106"/>
      <c r="K40" s="106"/>
      <c r="L40" s="106"/>
      <c r="M40" s="106"/>
      <c r="N40" s="106"/>
    </row>
    <row r="41" spans="2:14" ht="18" customHeight="1" x14ac:dyDescent="0.35">
      <c r="B41" s="61" t="s">
        <v>50</v>
      </c>
      <c r="C41" s="63">
        <f>IF(RepOK=0,"Select Month 1–12",IF(NOT(ISNUMBER(INDEX(MBack,RepIdx))),"Incomplete",INDEX(MBack,RepIdx)))</f>
        <v>1595000</v>
      </c>
      <c r="D41" s="63">
        <f>IF(RepOK=0,"N/M",IF(RepIdx&lt;=1,"No Prior",IF(NOT(ISNUMBER(INDEX(MBack,RepIdx-1))),"Incomplete",INDEX(MBack,RepIdx-1))))</f>
        <v>1445000</v>
      </c>
      <c r="E41" s="68">
        <f>IF(RepOK=0,"N/M",IF(RepIdx&lt;=1,"No Prior",IF(OR(NOT(ISNUMBER($C$41)),NOT(ISNUMBER($D$41))),"N/M",IF(MoMProv=1,"Provisional",$C$41-$D$41))))</f>
        <v>150000</v>
      </c>
      <c r="F41" s="63">
        <f>IF(NOT(ISNUMBER(TgtBack)),"Set Target",TgtBack)</f>
        <v>1500000</v>
      </c>
      <c r="G41" s="125" t="str">
        <f>IF(RepOK=0,"Select Month 1–12",IF($C$41="Incomplete","Missing Activity Input",IF(NOT(ISNUMBER($C$41)),$C$41,IF(RepDone=0,"Provisional",IF(NOT(ISNUMBER($F$41)),"Set Target",IF($C$41&gt;$F$41,"Above Target",IF($C$41=$F$41,"At Target","Below Target")))))))</f>
        <v>Above Target</v>
      </c>
      <c r="H41" s="125"/>
      <c r="I41" s="106" t="s">
        <v>303</v>
      </c>
      <c r="J41" s="106"/>
      <c r="K41" s="106"/>
      <c r="L41" s="106"/>
      <c r="M41" s="106"/>
      <c r="N41" s="106"/>
    </row>
    <row r="42" spans="2:14" ht="18" customHeight="1" x14ac:dyDescent="0.35">
      <c r="B42" s="61" t="s">
        <v>136</v>
      </c>
      <c r="C42" s="63">
        <f>IF(RepOK=0,"Select Month 1–12",IF(NOT(ISNUMBER(INDEX(MChg,RepIdx))),"Incomplete",INDEX(MChg,RepIdx)))</f>
        <v>41200</v>
      </c>
      <c r="D42" s="63">
        <f>IF(RepOK=0,"N/M",IF(RepIdx&lt;=1,"No Prior",IF(NOT(ISNUMBER(INDEX(MChg,RepIdx-1))),"Incomplete",INDEX(MChg,RepIdx-1))))</f>
        <v>14600</v>
      </c>
      <c r="E42" s="68">
        <f>IF(RepOK=0,"N/M",IF(RepIdx&lt;=1,"No Prior",IF(OR(NOT(ISNUMBER($C$42)),NOT(ISNUMBER($D$42))),"N/M",IF(MoMProv=1,"Provisional",$C$42-$D$42))))</f>
        <v>26600</v>
      </c>
      <c r="F42" s="63" t="str">
        <f>"—"</f>
        <v>—</v>
      </c>
      <c r="G42" s="125" t="str">
        <f>IF(RepOK=0,"Select Month 1–12",IF($C$42="Incomplete","Missing Activity Input",IF(NOT(ISNUMBER($C$42)),$C$42,IF(RepDone=0,"Provisional","Context Dependent"))))</f>
        <v>Context Dependent</v>
      </c>
      <c r="H42" s="125"/>
      <c r="I42" s="106" t="s">
        <v>304</v>
      </c>
      <c r="J42" s="106"/>
      <c r="K42" s="106"/>
      <c r="L42" s="106"/>
      <c r="M42" s="106"/>
      <c r="N42" s="106"/>
    </row>
    <row r="43" spans="2:14" ht="18" customHeight="1" x14ac:dyDescent="0.35">
      <c r="B43" s="61" t="s">
        <v>305</v>
      </c>
      <c r="C43" s="67">
        <f>IF(RepOK=0,"Select Month 1–12",IF(OR(NOT(ISNUMBER(INDEX(MQI,RepIdx))),NOT(ISNUMBER(INDEX(MQW,RepIdx)))),"Not Tracked",IF(INDEX(MQI,RepIdx)=0,"N/M",INDEX(MQW,RepIdx)/INDEX(MQI,RepIdx))))</f>
        <v>0.44444444444444442</v>
      </c>
      <c r="D43" s="67">
        <f>IF(RepOK=0,"N/M",IF(RepIdx&lt;=1,"No Prior",IF(OR(NOT(ISNUMBER(INDEX(MQI,RepIdx-1))),NOT(ISNUMBER(INDEX(MQW,RepIdx-1)))),"Not Tracked",IF(INDEX(MQI,RepIdx-1)=0,"N/M",INDEX(MQW,RepIdx-1)/INDEX(MQI,RepIdx-1)))))</f>
        <v>0.375</v>
      </c>
      <c r="E43" s="70">
        <f>IF(RepOK=0,"N/M",IF(RepIdx&lt;=1,"No Prior",IF(OR(NOT(ISNUMBER($C$43)),NOT(ISNUMBER($D$43))),"N/M",IF(MoMProv=1,"Provisional",($C$43-$D$43)*100))))</f>
        <v>6.944444444444442</v>
      </c>
      <c r="F43" s="67" t="str">
        <f>"—"</f>
        <v>—</v>
      </c>
      <c r="G43" s="125" t="str">
        <f>IF(RepOK=0,"Select Month 1–12",IF($C$43="Incomplete","Missing Activity Input",IF($C$43="N/M","N/M — No quotes issued",IF(NOT(ISNUMBER($C$43)),$C$43,IF(RepDone=0,"Provisional","Context Dependent")))))</f>
        <v>Context Dependent</v>
      </c>
      <c r="H43" s="125"/>
      <c r="I43" s="106" t="s">
        <v>306</v>
      </c>
      <c r="J43" s="106"/>
      <c r="K43" s="106"/>
      <c r="L43" s="106"/>
      <c r="M43" s="106"/>
      <c r="N43" s="106"/>
    </row>
    <row r="44" spans="2:14" ht="7.5" customHeight="1" x14ac:dyDescent="0.35"/>
    <row r="45" spans="2:14" ht="18.75" customHeight="1" x14ac:dyDescent="0.35">
      <c r="B45" s="1" t="s">
        <v>307</v>
      </c>
      <c r="C45" s="1"/>
      <c r="D45" s="1"/>
      <c r="E45" s="1"/>
      <c r="F45" s="1"/>
      <c r="G45" s="1"/>
      <c r="H45" s="1"/>
      <c r="I45" s="1"/>
      <c r="J45" s="1"/>
      <c r="K45" s="1"/>
      <c r="L45" s="1"/>
      <c r="M45" s="1"/>
      <c r="N45" s="1"/>
    </row>
    <row r="46" spans="2:14" ht="15.75" customHeight="1" x14ac:dyDescent="0.35">
      <c r="B46" s="26" t="s">
        <v>266</v>
      </c>
      <c r="C46" s="60" t="s">
        <v>267</v>
      </c>
      <c r="D46" s="60" t="s">
        <v>268</v>
      </c>
      <c r="E46" s="60" t="s">
        <v>269</v>
      </c>
      <c r="F46" s="60" t="s">
        <v>270</v>
      </c>
      <c r="G46" s="123" t="s">
        <v>178</v>
      </c>
      <c r="H46" s="123"/>
      <c r="I46" s="124" t="s">
        <v>271</v>
      </c>
      <c r="J46" s="124"/>
      <c r="K46" s="124"/>
      <c r="L46" s="124"/>
      <c r="M46" s="124"/>
      <c r="N46" s="124"/>
    </row>
    <row r="47" spans="2:14" ht="18" customHeight="1" x14ac:dyDescent="0.35">
      <c r="B47" s="61" t="s">
        <v>308</v>
      </c>
      <c r="C47" s="67">
        <f>JobWEst</f>
        <v>0.23149662645675731</v>
      </c>
      <c r="D47" s="67" t="str">
        <f t="shared" ref="D47:F48" si="0">"—"</f>
        <v>—</v>
      </c>
      <c r="E47" s="71" t="str">
        <f t="shared" si="0"/>
        <v>—</v>
      </c>
      <c r="F47" s="67" t="str">
        <f t="shared" si="0"/>
        <v>—</v>
      </c>
      <c r="G47" s="125" t="str">
        <f>IF(RepOK=0,"Select Month 1–12",IF($C$47="N/M","N/M — No contract value",IF(NOT(ISNUMBER($C$47)),$C$47,IF(RepDone=0,"Provisional","Monitor"))))</f>
        <v>Monitor</v>
      </c>
      <c r="H47" s="125"/>
      <c r="I47" s="106" t="s">
        <v>309</v>
      </c>
      <c r="J47" s="106"/>
      <c r="K47" s="106"/>
      <c r="L47" s="106"/>
      <c r="M47" s="106"/>
      <c r="N47" s="106"/>
    </row>
    <row r="48" spans="2:14" ht="18" customHeight="1" x14ac:dyDescent="0.35">
      <c r="B48" s="61" t="s">
        <v>310</v>
      </c>
      <c r="C48" s="67">
        <f>JobWAct</f>
        <v>0.23609691269679003</v>
      </c>
      <c r="D48" s="67" t="str">
        <f t="shared" si="0"/>
        <v>—</v>
      </c>
      <c r="E48" s="71" t="str">
        <f t="shared" si="0"/>
        <v>—</v>
      </c>
      <c r="F48" s="67" t="str">
        <f t="shared" si="0"/>
        <v>—</v>
      </c>
      <c r="G48" s="125" t="str">
        <f>IF(RepOK=0,"Select Month 1–12",IF($C$48="N/M","N/M — No contract value",IF(NOT(ISNUMBER($C$48)),$C$48,IF(RepDone=0,"Provisional","Monitor"))))</f>
        <v>Monitor</v>
      </c>
      <c r="H48" s="125"/>
      <c r="I48" s="106" t="s">
        <v>311</v>
      </c>
      <c r="J48" s="106"/>
      <c r="K48" s="106"/>
      <c r="L48" s="106"/>
      <c r="M48" s="106"/>
      <c r="N48" s="106"/>
    </row>
    <row r="49" spans="2:14" ht="18" customHeight="1" x14ac:dyDescent="0.35">
      <c r="B49" s="64" t="s">
        <v>312</v>
      </c>
      <c r="C49" s="73">
        <f>JobMarVar</f>
        <v>0.46002862400327249</v>
      </c>
      <c r="D49" s="73" t="str">
        <f>"—"</f>
        <v>—</v>
      </c>
      <c r="E49" s="73" t="str">
        <f>"—"</f>
        <v>—</v>
      </c>
      <c r="F49" s="69">
        <f>IF(NOT(ISNUMBER(TgtJMV)),"Set Target",TgtJMV)</f>
        <v>0</v>
      </c>
      <c r="G49" s="125" t="str">
        <f>IF(RepOK=0,"Select Month 1–12",IF($C$49="N/M","N/M — No contract value",IF(NOT(ISNUMBER($C$49)),$C$49,IF(RepDone=0,"Provisional",IF(NOT(ISNUMBER($F$49)),"Set Target",IF($C$49&gt;$F$49,"Above Target",IF($C$49=$F$49,"At Target","Below Target")))))))</f>
        <v>Above Target</v>
      </c>
      <c r="H49" s="125"/>
      <c r="I49" s="106" t="s">
        <v>313</v>
      </c>
      <c r="J49" s="106"/>
      <c r="K49" s="106"/>
      <c r="L49" s="106"/>
      <c r="M49" s="106"/>
      <c r="N49" s="106"/>
    </row>
    <row r="50" spans="2:14" ht="18" customHeight="1" x14ac:dyDescent="0.35">
      <c r="B50" s="61" t="s">
        <v>241</v>
      </c>
      <c r="C50" s="68">
        <f>JobCostVar</f>
        <v>-9000</v>
      </c>
      <c r="D50" s="68" t="str">
        <f>"—"</f>
        <v>—</v>
      </c>
      <c r="E50" s="68" t="str">
        <f>"—"</f>
        <v>—</v>
      </c>
      <c r="F50" s="68" t="str">
        <f>"—"</f>
        <v>—</v>
      </c>
      <c r="G50" s="125" t="str">
        <f>IF(RepOK=0,"Select Month 1–12",IF($C$50="N/M","N/M — No contract value",IF(NOT(ISNUMBER($C$50)),$C$50,IF(RepDone=0,"Provisional","Monitor"))))</f>
        <v>Monitor</v>
      </c>
      <c r="H50" s="125"/>
      <c r="I50" s="106" t="s">
        <v>314</v>
      </c>
      <c r="J50" s="106"/>
      <c r="K50" s="106"/>
      <c r="L50" s="106"/>
      <c r="M50" s="106"/>
      <c r="N50" s="106"/>
    </row>
    <row r="51" spans="2:14" ht="18" customHeight="1" x14ac:dyDescent="0.35">
      <c r="B51" s="99" t="s">
        <v>315</v>
      </c>
      <c r="C51" s="99"/>
      <c r="D51" s="99"/>
      <c r="E51" s="99"/>
      <c r="F51" s="99"/>
      <c r="G51" s="99"/>
      <c r="H51" s="99"/>
      <c r="I51" s="99"/>
      <c r="J51" s="99"/>
      <c r="K51" s="99"/>
      <c r="L51" s="99"/>
      <c r="M51" s="99"/>
      <c r="N51" s="99"/>
    </row>
    <row r="52" spans="2:14" ht="7.5" customHeight="1" x14ac:dyDescent="0.35"/>
    <row r="53" spans="2:14" ht="18.75" customHeight="1" x14ac:dyDescent="0.35">
      <c r="B53" s="1" t="s">
        <v>316</v>
      </c>
      <c r="C53" s="1"/>
      <c r="D53" s="1"/>
      <c r="E53" s="1"/>
      <c r="F53" s="1"/>
      <c r="G53" s="1"/>
      <c r="H53" s="1"/>
      <c r="I53" s="1"/>
      <c r="J53" s="1"/>
      <c r="K53" s="1"/>
      <c r="L53" s="1"/>
      <c r="M53" s="1"/>
      <c r="N53" s="1"/>
    </row>
    <row r="54" spans="2:14" ht="15.75" customHeight="1" x14ac:dyDescent="0.35">
      <c r="B54" s="26" t="s">
        <v>214</v>
      </c>
      <c r="C54" s="27" t="str">
        <f>'MONTHLY INPUTS'!C13</f>
        <v>Jan 2025</v>
      </c>
      <c r="D54" s="27" t="str">
        <f>'MONTHLY INPUTS'!D13</f>
        <v>Feb 2025</v>
      </c>
      <c r="E54" s="27" t="str">
        <f>'MONTHLY INPUTS'!E13</f>
        <v>Mar 2025</v>
      </c>
      <c r="F54" s="27" t="str">
        <f>'MONTHLY INPUTS'!F13</f>
        <v>Apr 2025</v>
      </c>
      <c r="G54" s="27" t="str">
        <f>'MONTHLY INPUTS'!G13</f>
        <v>May 2025</v>
      </c>
      <c r="H54" s="27" t="str">
        <f>'MONTHLY INPUTS'!H13</f>
        <v>Jun 2025</v>
      </c>
      <c r="I54" s="27" t="str">
        <f>'MONTHLY INPUTS'!I13</f>
        <v>Jul 2025</v>
      </c>
      <c r="J54" s="27" t="str">
        <f>'MONTHLY INPUTS'!J13</f>
        <v>Aug 2025</v>
      </c>
      <c r="K54" s="27" t="str">
        <f>'MONTHLY INPUTS'!K13</f>
        <v>Sep 2025</v>
      </c>
      <c r="L54" s="27" t="str">
        <f>'MONTHLY INPUTS'!L13</f>
        <v>Oct 2025</v>
      </c>
      <c r="M54" s="27" t="str">
        <f>'MONTHLY INPUTS'!M13</f>
        <v>Nov 2025</v>
      </c>
      <c r="N54" s="27" t="str">
        <f>'MONTHLY INPUTS'!N13</f>
        <v>Dec 2025</v>
      </c>
    </row>
    <row r="55" spans="2:14" ht="16.5" customHeight="1" x14ac:dyDescent="0.35">
      <c r="B55" s="22" t="s">
        <v>98</v>
      </c>
      <c r="C55" s="55">
        <f>'MONTHLY INPUTS'!C22</f>
        <v>446500</v>
      </c>
      <c r="D55" s="55">
        <f>'MONTHLY INPUTS'!D22</f>
        <v>416800</v>
      </c>
      <c r="E55" s="55">
        <f>'MONTHLY INPUTS'!E22</f>
        <v>501200</v>
      </c>
      <c r="F55" s="55">
        <f>'MONTHLY INPUTS'!F22</f>
        <v>582100</v>
      </c>
      <c r="G55" s="55">
        <f>'MONTHLY INPUTS'!G22</f>
        <v>670400</v>
      </c>
      <c r="H55" s="55">
        <f>'MONTHLY INPUTS'!H22</f>
        <v>730200</v>
      </c>
      <c r="I55" s="55">
        <f>'MONTHLY INPUTS'!I22</f>
        <v>783800</v>
      </c>
      <c r="J55" s="55">
        <f>'MONTHLY INPUTS'!J22</f>
        <v>757100</v>
      </c>
      <c r="K55" s="55">
        <f>'MONTHLY INPUTS'!K22</f>
        <v>697600</v>
      </c>
      <c r="L55" s="55">
        <f>'MONTHLY INPUTS'!L22</f>
        <v>642900</v>
      </c>
      <c r="M55" s="55">
        <f>'MONTHLY INPUTS'!M22</f>
        <v>570800</v>
      </c>
      <c r="N55" s="55">
        <f>'MONTHLY INPUTS'!N22</f>
        <v>518100</v>
      </c>
    </row>
    <row r="56" spans="2:14" ht="16.5" customHeight="1" x14ac:dyDescent="0.35">
      <c r="B56" s="22" t="s">
        <v>42</v>
      </c>
      <c r="C56" s="55">
        <f>'MONTHLY INPUTS'!C33</f>
        <v>115200</v>
      </c>
      <c r="D56" s="55">
        <f>'MONTHLY INPUTS'!D33</f>
        <v>105000</v>
      </c>
      <c r="E56" s="55">
        <f>'MONTHLY INPUTS'!E33</f>
        <v>123200</v>
      </c>
      <c r="F56" s="55">
        <f>'MONTHLY INPUTS'!F33</f>
        <v>136200</v>
      </c>
      <c r="G56" s="55">
        <f>'MONTHLY INPUTS'!G33</f>
        <v>148100</v>
      </c>
      <c r="H56" s="55">
        <f>'MONTHLY INPUTS'!H33</f>
        <v>150400</v>
      </c>
      <c r="I56" s="55">
        <f>'MONTHLY INPUTS'!I33</f>
        <v>152000</v>
      </c>
      <c r="J56" s="55">
        <f>'MONTHLY INPUTS'!J33</f>
        <v>157400</v>
      </c>
      <c r="K56" s="55">
        <f>'MONTHLY INPUTS'!K33</f>
        <v>155600</v>
      </c>
      <c r="L56" s="55">
        <f>'MONTHLY INPUTS'!L33</f>
        <v>151700</v>
      </c>
      <c r="M56" s="55">
        <f>'MONTHLY INPUTS'!M33</f>
        <v>142100</v>
      </c>
      <c r="N56" s="55">
        <f>'MONTHLY INPUTS'!N33</f>
        <v>133200</v>
      </c>
    </row>
    <row r="57" spans="2:14" ht="16.5" customHeight="1" x14ac:dyDescent="0.35">
      <c r="B57" s="29" t="s">
        <v>44</v>
      </c>
      <c r="C57" s="32">
        <f>'MONTHLY INPUTS'!C34</f>
        <v>0.25800671892497201</v>
      </c>
      <c r="D57" s="32">
        <f>'MONTHLY INPUTS'!D34</f>
        <v>0.2519193857965451</v>
      </c>
      <c r="E57" s="32">
        <f>'MONTHLY INPUTS'!E34</f>
        <v>0.24581005586592178</v>
      </c>
      <c r="F57" s="32">
        <f>'MONTHLY INPUTS'!F34</f>
        <v>0.23398041573612782</v>
      </c>
      <c r="G57" s="32">
        <f>'MONTHLY INPUTS'!G34</f>
        <v>0.22091288782816229</v>
      </c>
      <c r="H57" s="32">
        <f>'MONTHLY INPUTS'!H34</f>
        <v>0.20597096685839497</v>
      </c>
      <c r="I57" s="32">
        <f>'MONTHLY INPUTS'!I34</f>
        <v>0.19392702219954069</v>
      </c>
      <c r="J57" s="32">
        <f>'MONTHLY INPUTS'!J34</f>
        <v>0.20789856029586581</v>
      </c>
      <c r="K57" s="32">
        <f>'MONTHLY INPUTS'!K34</f>
        <v>0.22305045871559634</v>
      </c>
      <c r="L57" s="32">
        <f>'MONTHLY INPUTS'!L34</f>
        <v>0.23596204697464612</v>
      </c>
      <c r="M57" s="32">
        <f>'MONTHLY INPUTS'!M34</f>
        <v>0.24894884372810092</v>
      </c>
      <c r="N57" s="33">
        <f>'MONTHLY INPUTS'!N34</f>
        <v>0.25709322524609146</v>
      </c>
    </row>
    <row r="58" spans="2:14" ht="16.5" customHeight="1" x14ac:dyDescent="0.35">
      <c r="B58" s="22" t="s">
        <v>46</v>
      </c>
      <c r="C58" s="55">
        <f>'MONTHLY INPUTS'!C49</f>
        <v>13650</v>
      </c>
      <c r="D58" s="55">
        <f>'MONTHLY INPUTS'!D49</f>
        <v>-850</v>
      </c>
      <c r="E58" s="55">
        <f>'MONTHLY INPUTS'!E49</f>
        <v>18150</v>
      </c>
      <c r="F58" s="55">
        <f>'MONTHLY INPUTS'!F49</f>
        <v>28220</v>
      </c>
      <c r="G58" s="55">
        <f>'MONTHLY INPUTS'!G49</f>
        <v>36220</v>
      </c>
      <c r="H58" s="55">
        <f>'MONTHLY INPUTS'!H49</f>
        <v>36720</v>
      </c>
      <c r="I58" s="55">
        <f>'MONTHLY INPUTS'!I49</f>
        <v>36320</v>
      </c>
      <c r="J58" s="55">
        <f>'MONTHLY INPUTS'!J49</f>
        <v>43320</v>
      </c>
      <c r="K58" s="55">
        <f>'MONTHLY INPUTS'!K49</f>
        <v>43470</v>
      </c>
      <c r="L58" s="55">
        <f>'MONTHLY INPUTS'!L49</f>
        <v>42970</v>
      </c>
      <c r="M58" s="55">
        <f>'MONTHLY INPUTS'!M49</f>
        <v>35520</v>
      </c>
      <c r="N58" s="55">
        <f>'MONTHLY INPUTS'!N49</f>
        <v>21820</v>
      </c>
    </row>
    <row r="59" spans="2:14" ht="16.5" customHeight="1" x14ac:dyDescent="0.35">
      <c r="B59" s="29" t="s">
        <v>119</v>
      </c>
      <c r="C59" s="32">
        <f>'MONTHLY INPUTS'!C50</f>
        <v>3.0571108622620382E-2</v>
      </c>
      <c r="D59" s="32">
        <f>'MONTHLY INPUTS'!D50</f>
        <v>-2.0393474088291745E-3</v>
      </c>
      <c r="E59" s="32">
        <f>'MONTHLY INPUTS'!E50</f>
        <v>3.6213088587390266E-2</v>
      </c>
      <c r="F59" s="32">
        <f>'MONTHLY INPUTS'!F50</f>
        <v>4.8479642673080227E-2</v>
      </c>
      <c r="G59" s="32">
        <f>'MONTHLY INPUTS'!G50</f>
        <v>5.4027446300715994E-2</v>
      </c>
      <c r="H59" s="32">
        <f>'MONTHLY INPUTS'!H50</f>
        <v>5.0287592440427277E-2</v>
      </c>
      <c r="I59" s="32">
        <f>'MONTHLY INPUTS'!I50</f>
        <v>4.6338351620311302E-2</v>
      </c>
      <c r="J59" s="32">
        <f>'MONTHLY INPUTS'!J50</f>
        <v>5.7218333113195088E-2</v>
      </c>
      <c r="K59" s="32">
        <f>'MONTHLY INPUTS'!K50</f>
        <v>6.2313646788990824E-2</v>
      </c>
      <c r="L59" s="32">
        <f>'MONTHLY INPUTS'!L50</f>
        <v>6.6837766371130813E-2</v>
      </c>
      <c r="M59" s="32">
        <f>'MONTHLY INPUTS'!M50</f>
        <v>6.2228451296426068E-2</v>
      </c>
      <c r="N59" s="33">
        <f>'MONTHLY INPUTS'!N50</f>
        <v>4.211542173325613E-2</v>
      </c>
    </row>
    <row r="60" spans="2:14" ht="16.5" customHeight="1" x14ac:dyDescent="0.35">
      <c r="B60" s="22" t="s">
        <v>125</v>
      </c>
      <c r="C60" s="55">
        <f>'MONTHLY INPUTS'!C61</f>
        <v>248000</v>
      </c>
      <c r="D60" s="55">
        <f>'MONTHLY INPUTS'!D61</f>
        <v>226000</v>
      </c>
      <c r="E60" s="55">
        <f>'MONTHLY INPUTS'!E61</f>
        <v>214000</v>
      </c>
      <c r="F60" s="55">
        <f>'MONTHLY INPUTS'!F61</f>
        <v>209000</v>
      </c>
      <c r="G60" s="55">
        <f>'MONTHLY INPUTS'!G61</f>
        <v>198000</v>
      </c>
      <c r="H60" s="55">
        <f>'MONTHLY INPUTS'!H61</f>
        <v>221000</v>
      </c>
      <c r="I60" s="55">
        <f>'MONTHLY INPUTS'!I61</f>
        <v>256000</v>
      </c>
      <c r="J60" s="55">
        <f>'MONTHLY INPUTS'!J61</f>
        <v>312000</v>
      </c>
      <c r="K60" s="55">
        <f>'MONTHLY INPUTS'!K61</f>
        <v>368000</v>
      </c>
      <c r="L60" s="55">
        <f>'MONTHLY INPUTS'!L61</f>
        <v>421000</v>
      </c>
      <c r="M60" s="55">
        <f>'MONTHLY INPUTS'!M61</f>
        <v>458000</v>
      </c>
      <c r="N60" s="55">
        <f>'MONTHLY INPUTS'!N61</f>
        <v>487000</v>
      </c>
    </row>
    <row r="61" spans="2:14" ht="21.75" customHeight="1" x14ac:dyDescent="0.35">
      <c r="B61" s="99" t="str">
        <f>IF(ProvMonths=0,"Blank cells in the trend mean the required inputs for that month have not been entered. A month with zero revenue that is genuinely complete shows as zero, not as a blank.","Trend includes provisional month(s) — "&amp;TEXT(ProvMonths,"0")&amp;" month(s) above carry data but are not marked complete on the MONTHLY INPUTS tab. Their figures are shown, but they are not finalised.")</f>
        <v>Blank cells in the trend mean the required inputs for that month have not been entered. A month with zero revenue that is genuinely complete shows as zero, not as a blank.</v>
      </c>
      <c r="C61" s="99"/>
      <c r="D61" s="99"/>
      <c r="E61" s="99"/>
      <c r="F61" s="99"/>
      <c r="G61" s="99"/>
      <c r="H61" s="99"/>
      <c r="I61" s="99"/>
      <c r="J61" s="99"/>
      <c r="K61" s="99"/>
      <c r="L61" s="99"/>
      <c r="M61" s="99"/>
      <c r="N61" s="99"/>
    </row>
    <row r="62" spans="2:14" ht="13.5" customHeight="1" x14ac:dyDescent="0.35">
      <c r="B62" s="100" t="s">
        <v>317</v>
      </c>
      <c r="C62" s="100"/>
      <c r="D62" s="100"/>
      <c r="E62" s="100"/>
      <c r="F62" s="100"/>
      <c r="G62" s="100"/>
      <c r="H62" s="100"/>
      <c r="I62" s="100"/>
      <c r="J62" s="100"/>
      <c r="K62" s="100"/>
      <c r="L62" s="100"/>
      <c r="M62" s="100"/>
      <c r="N62" s="100"/>
    </row>
  </sheetData>
  <sheetProtection sheet="1" formatCells="0" formatColumns="0" formatRows="0"/>
  <mergeCells count="79">
    <mergeCell ref="B62:N62"/>
    <mergeCell ref="G50:H50"/>
    <mergeCell ref="I50:N50"/>
    <mergeCell ref="B51:N51"/>
    <mergeCell ref="B53:N53"/>
    <mergeCell ref="B61:N61"/>
    <mergeCell ref="G47:H47"/>
    <mergeCell ref="I47:N47"/>
    <mergeCell ref="G48:H48"/>
    <mergeCell ref="I48:N48"/>
    <mergeCell ref="G49:H49"/>
    <mergeCell ref="I49:N49"/>
    <mergeCell ref="G43:H43"/>
    <mergeCell ref="I43:N43"/>
    <mergeCell ref="B45:N45"/>
    <mergeCell ref="G46:H46"/>
    <mergeCell ref="I46:N46"/>
    <mergeCell ref="G40:H40"/>
    <mergeCell ref="I40:N40"/>
    <mergeCell ref="G41:H41"/>
    <mergeCell ref="I41:N41"/>
    <mergeCell ref="G42:H42"/>
    <mergeCell ref="I42:N42"/>
    <mergeCell ref="B37:N37"/>
    <mergeCell ref="G38:H38"/>
    <mergeCell ref="I38:N38"/>
    <mergeCell ref="G39:H39"/>
    <mergeCell ref="I39:N39"/>
    <mergeCell ref="G33:H33"/>
    <mergeCell ref="I33:N33"/>
    <mergeCell ref="G34:H34"/>
    <mergeCell ref="I34:N34"/>
    <mergeCell ref="G35:H35"/>
    <mergeCell ref="I35:N35"/>
    <mergeCell ref="G30:H30"/>
    <mergeCell ref="I30:N30"/>
    <mergeCell ref="G31:H31"/>
    <mergeCell ref="I31:N31"/>
    <mergeCell ref="G32:H32"/>
    <mergeCell ref="I32:N32"/>
    <mergeCell ref="G25:H25"/>
    <mergeCell ref="I25:N25"/>
    <mergeCell ref="B26:N26"/>
    <mergeCell ref="B28:N28"/>
    <mergeCell ref="G29:H29"/>
    <mergeCell ref="I29:N29"/>
    <mergeCell ref="G22:H22"/>
    <mergeCell ref="I22:N22"/>
    <mergeCell ref="G23:H23"/>
    <mergeCell ref="I23:N23"/>
    <mergeCell ref="G24:H24"/>
    <mergeCell ref="I24:N24"/>
    <mergeCell ref="B19:N19"/>
    <mergeCell ref="G20:H20"/>
    <mergeCell ref="I20:N20"/>
    <mergeCell ref="G21:H21"/>
    <mergeCell ref="I21:N21"/>
    <mergeCell ref="G15:H15"/>
    <mergeCell ref="I15:N15"/>
    <mergeCell ref="G16:H16"/>
    <mergeCell ref="I16:N16"/>
    <mergeCell ref="G17:H17"/>
    <mergeCell ref="I17:N17"/>
    <mergeCell ref="G12:H12"/>
    <mergeCell ref="I12:N12"/>
    <mergeCell ref="G13:H13"/>
    <mergeCell ref="I13:N13"/>
    <mergeCell ref="G14:H14"/>
    <mergeCell ref="I14:N14"/>
    <mergeCell ref="B7:N7"/>
    <mergeCell ref="B8:N8"/>
    <mergeCell ref="B10:N10"/>
    <mergeCell ref="G11:H11"/>
    <mergeCell ref="I11:N11"/>
    <mergeCell ref="A1:N1"/>
    <mergeCell ref="A2:F2"/>
    <mergeCell ref="G2:N2"/>
    <mergeCell ref="A3:N3"/>
    <mergeCell ref="B5:N5"/>
  </mergeCells>
  <pageMargins left="0.3" right="0.3" top="0.35" bottom="0.3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8"/>
  <sheetViews>
    <sheetView showGridLines="0" zoomScaleNormal="100" workbookViewId="0">
      <selection activeCell="B28" sqref="B28:E28"/>
    </sheetView>
  </sheetViews>
  <sheetFormatPr defaultColWidth="8.6328125" defaultRowHeight="14.5" x14ac:dyDescent="0.35"/>
  <cols>
    <col min="1" max="1" width="2.453125" customWidth="1"/>
    <col min="2" max="2" width="42" customWidth="1"/>
    <col min="3" max="3" width="18" customWidth="1"/>
    <col min="4" max="4" width="2.453125" customWidth="1"/>
    <col min="5" max="5" width="54" customWidth="1"/>
    <col min="6" max="6" width="2.453125" customWidth="1"/>
  </cols>
  <sheetData>
    <row r="1" spans="1:6" ht="13.5" customHeight="1" x14ac:dyDescent="0.35">
      <c r="A1" s="14" t="s">
        <v>0</v>
      </c>
      <c r="B1" s="14"/>
      <c r="C1" s="14"/>
      <c r="D1" s="14"/>
      <c r="E1" s="14"/>
      <c r="F1" s="14"/>
    </row>
    <row r="2" spans="1:6" ht="25.5" customHeight="1" x14ac:dyDescent="0.35">
      <c r="A2" s="13" t="s">
        <v>318</v>
      </c>
      <c r="B2" s="13"/>
      <c r="C2" s="13"/>
      <c r="D2" s="3" t="s">
        <v>67</v>
      </c>
      <c r="E2" s="3"/>
      <c r="F2" s="3"/>
    </row>
    <row r="3" spans="1:6" ht="15.75" customHeight="1" x14ac:dyDescent="0.35">
      <c r="A3" s="12" t="s">
        <v>319</v>
      </c>
      <c r="B3" s="12"/>
      <c r="C3" s="12"/>
      <c r="D3" s="12"/>
      <c r="E3" s="12"/>
      <c r="F3" s="12"/>
    </row>
    <row r="4" spans="1:6" ht="7.5" customHeight="1" x14ac:dyDescent="0.35"/>
    <row r="5" spans="1:6" ht="24" customHeight="1" x14ac:dyDescent="0.35">
      <c r="B5" s="2" t="s">
        <v>320</v>
      </c>
      <c r="C5" s="2"/>
      <c r="D5" s="2"/>
      <c r="E5" s="2"/>
    </row>
    <row r="6" spans="1:6" ht="6" customHeight="1" x14ac:dyDescent="0.35"/>
    <row r="7" spans="1:6" ht="31.5" customHeight="1" x14ac:dyDescent="0.35">
      <c r="B7" s="8" t="s">
        <v>321</v>
      </c>
      <c r="C7" s="8"/>
      <c r="D7" s="8"/>
      <c r="E7" s="8"/>
    </row>
    <row r="8" spans="1:6" ht="7.5" customHeight="1" x14ac:dyDescent="0.35"/>
    <row r="9" spans="1:6" ht="18.75" customHeight="1" x14ac:dyDescent="0.35">
      <c r="B9" s="1" t="s">
        <v>322</v>
      </c>
      <c r="C9" s="1"/>
      <c r="D9" s="1"/>
      <c r="E9" s="1"/>
    </row>
    <row r="10" spans="1:6" ht="16.5" customHeight="1" x14ac:dyDescent="0.35">
      <c r="B10" s="17" t="s">
        <v>323</v>
      </c>
      <c r="C10" s="81" t="s">
        <v>324</v>
      </c>
      <c r="E10" s="17" t="s">
        <v>325</v>
      </c>
    </row>
    <row r="11" spans="1:6" ht="21" customHeight="1" x14ac:dyDescent="0.35">
      <c r="B11" s="22" t="s">
        <v>326</v>
      </c>
      <c r="C11" s="82">
        <v>600000</v>
      </c>
      <c r="E11" s="83" t="s">
        <v>327</v>
      </c>
    </row>
    <row r="12" spans="1:6" ht="21" customHeight="1" x14ac:dyDescent="0.35">
      <c r="B12" s="22" t="s">
        <v>328</v>
      </c>
      <c r="C12" s="84">
        <v>0.24</v>
      </c>
      <c r="E12" s="83" t="s">
        <v>329</v>
      </c>
    </row>
    <row r="13" spans="1:6" ht="21" customHeight="1" x14ac:dyDescent="0.35">
      <c r="B13" s="22" t="s">
        <v>330</v>
      </c>
      <c r="C13" s="84">
        <v>0.06</v>
      </c>
      <c r="E13" s="83" t="s">
        <v>331</v>
      </c>
    </row>
    <row r="14" spans="1:6" ht="21" customHeight="1" x14ac:dyDescent="0.35">
      <c r="B14" s="22" t="s">
        <v>332</v>
      </c>
      <c r="C14" s="84">
        <v>0.23</v>
      </c>
      <c r="E14" s="83" t="s">
        <v>333</v>
      </c>
    </row>
    <row r="15" spans="1:6" ht="21" customHeight="1" x14ac:dyDescent="0.35">
      <c r="B15" s="22" t="s">
        <v>334</v>
      </c>
      <c r="C15" s="84">
        <v>0.28000000000000003</v>
      </c>
      <c r="E15" s="83" t="s">
        <v>335</v>
      </c>
    </row>
    <row r="16" spans="1:6" ht="21" customHeight="1" x14ac:dyDescent="0.35">
      <c r="B16" s="22" t="s">
        <v>336</v>
      </c>
      <c r="C16" s="84">
        <v>0.2</v>
      </c>
      <c r="E16" s="83" t="s">
        <v>337</v>
      </c>
    </row>
    <row r="17" spans="2:5" ht="21" customHeight="1" x14ac:dyDescent="0.35">
      <c r="B17" s="22" t="s">
        <v>338</v>
      </c>
      <c r="C17" s="84">
        <v>0.76</v>
      </c>
      <c r="E17" s="83" t="s">
        <v>339</v>
      </c>
    </row>
    <row r="18" spans="2:5" ht="21" customHeight="1" x14ac:dyDescent="0.35">
      <c r="B18" s="22" t="s">
        <v>340</v>
      </c>
      <c r="C18" s="84">
        <v>0.18</v>
      </c>
      <c r="E18" s="83" t="s">
        <v>341</v>
      </c>
    </row>
    <row r="19" spans="2:5" ht="21" customHeight="1" x14ac:dyDescent="0.35">
      <c r="B19" s="22" t="s">
        <v>342</v>
      </c>
      <c r="C19" s="85">
        <v>55</v>
      </c>
      <c r="E19" s="83" t="s">
        <v>343</v>
      </c>
    </row>
    <row r="20" spans="2:5" ht="21" customHeight="1" x14ac:dyDescent="0.35">
      <c r="B20" s="22" t="s">
        <v>344</v>
      </c>
      <c r="C20" s="82">
        <v>350000</v>
      </c>
      <c r="E20" s="83" t="s">
        <v>345</v>
      </c>
    </row>
    <row r="21" spans="2:5" ht="21" customHeight="1" x14ac:dyDescent="0.35">
      <c r="B21" s="22" t="s">
        <v>346</v>
      </c>
      <c r="C21" s="85">
        <v>0.75</v>
      </c>
      <c r="E21" s="83" t="s">
        <v>347</v>
      </c>
    </row>
    <row r="22" spans="2:5" ht="21" customHeight="1" x14ac:dyDescent="0.35">
      <c r="B22" s="22" t="s">
        <v>348</v>
      </c>
      <c r="C22" s="82">
        <v>1500000</v>
      </c>
      <c r="E22" s="83" t="s">
        <v>349</v>
      </c>
    </row>
    <row r="23" spans="2:5" ht="21" customHeight="1" x14ac:dyDescent="0.35">
      <c r="B23" s="22" t="s">
        <v>350</v>
      </c>
      <c r="C23" s="86">
        <v>0</v>
      </c>
      <c r="E23" s="83" t="s">
        <v>351</v>
      </c>
    </row>
    <row r="24" spans="2:5" ht="42" customHeight="1" x14ac:dyDescent="0.35">
      <c r="B24" s="99" t="s">
        <v>352</v>
      </c>
      <c r="C24" s="99"/>
      <c r="D24" s="99"/>
      <c r="E24" s="99"/>
    </row>
    <row r="25" spans="2:5" ht="7.5" customHeight="1" x14ac:dyDescent="0.35"/>
    <row r="26" spans="2:5" ht="24" customHeight="1" x14ac:dyDescent="0.35">
      <c r="B26" s="126" t="str">
        <f>"Targets entered: "&amp;TEXT(COUNT($C$11:$C$23),"0")&amp;" of 13.   "&amp;IF(COUNT($C$11:$C$23)=13,"Every comparison on the KPI ANALYSIS tab is live.","The KPI rows without a target read Set Target until you enter one. Nothing else is affected.")</f>
        <v>Targets entered: 13 of 13.   Every comparison on the KPI ANALYSIS tab is live.</v>
      </c>
      <c r="C26" s="126"/>
      <c r="D26" s="126"/>
      <c r="E26" s="126"/>
    </row>
    <row r="28" spans="2:5" ht="13.5" customHeight="1" x14ac:dyDescent="0.35">
      <c r="B28" s="100" t="s">
        <v>353</v>
      </c>
      <c r="C28" s="100"/>
      <c r="D28" s="100"/>
      <c r="E28" s="100"/>
    </row>
  </sheetData>
  <sheetProtection sheet="1" formatCells="0" formatColumns="0" formatRows="0"/>
  <mergeCells count="10">
    <mergeCell ref="B7:E7"/>
    <mergeCell ref="B9:E9"/>
    <mergeCell ref="B24:E24"/>
    <mergeCell ref="B26:E26"/>
    <mergeCell ref="B28:E28"/>
    <mergeCell ref="A1:F1"/>
    <mergeCell ref="A2:C2"/>
    <mergeCell ref="D2:F2"/>
    <mergeCell ref="A3:F3"/>
    <mergeCell ref="B5:E5"/>
  </mergeCells>
  <pageMargins left="0.3" right="0.3" top="0.35" bottom="0.35" header="0.511811023622047" footer="0.511811023622047"/>
  <pageSetup fitToHeight="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zoomScaleNormal="100" workbookViewId="0">
      <selection activeCell="C26" sqref="C26"/>
    </sheetView>
  </sheetViews>
  <sheetFormatPr defaultColWidth="8.6328125" defaultRowHeight="14.5" x14ac:dyDescent="0.35"/>
  <cols>
    <col min="1" max="1" width="2.453125" customWidth="1"/>
    <col min="2" max="2" width="34" customWidth="1"/>
    <col min="3" max="14" width="11.6328125" customWidth="1"/>
    <col min="15" max="15" width="2.453125" customWidth="1"/>
  </cols>
  <sheetData>
    <row r="1" spans="1:14" ht="13.5" customHeight="1" x14ac:dyDescent="0.35">
      <c r="A1" s="14" t="s">
        <v>0</v>
      </c>
      <c r="B1" s="14"/>
      <c r="C1" s="14"/>
      <c r="D1" s="14"/>
      <c r="E1" s="14"/>
      <c r="F1" s="14"/>
      <c r="G1" s="14"/>
      <c r="H1" s="14"/>
      <c r="I1" s="14"/>
      <c r="J1" s="14"/>
      <c r="K1" s="14"/>
      <c r="L1" s="14"/>
      <c r="M1" s="14"/>
      <c r="N1" s="14"/>
    </row>
    <row r="2" spans="1:14" ht="25.5" customHeight="1" x14ac:dyDescent="0.35">
      <c r="A2" s="13" t="s">
        <v>354</v>
      </c>
      <c r="B2" s="13"/>
      <c r="C2" s="13"/>
      <c r="D2" s="13"/>
      <c r="E2" s="13"/>
      <c r="F2" s="13"/>
      <c r="G2" s="3" t="s">
        <v>67</v>
      </c>
      <c r="H2" s="3"/>
      <c r="I2" s="3"/>
      <c r="J2" s="3"/>
      <c r="K2" s="3"/>
      <c r="L2" s="3"/>
      <c r="M2" s="3"/>
      <c r="N2" s="3"/>
    </row>
    <row r="3" spans="1:14" ht="15.75" customHeight="1" x14ac:dyDescent="0.35">
      <c r="A3" s="12" t="s">
        <v>355</v>
      </c>
      <c r="B3" s="12"/>
      <c r="C3" s="12"/>
      <c r="D3" s="12"/>
      <c r="E3" s="12"/>
      <c r="F3" s="12"/>
      <c r="G3" s="12"/>
      <c r="H3" s="12"/>
      <c r="I3" s="12"/>
      <c r="J3" s="12"/>
      <c r="K3" s="12"/>
      <c r="L3" s="12"/>
      <c r="M3" s="12"/>
      <c r="N3" s="12"/>
    </row>
    <row r="4" spans="1:14" ht="7.5" customHeight="1" x14ac:dyDescent="0.35"/>
    <row r="5" spans="1:14" ht="15.75" customHeight="1" x14ac:dyDescent="0.35">
      <c r="B5" s="2" t="s">
        <v>356</v>
      </c>
      <c r="C5" s="2"/>
      <c r="D5" s="2"/>
      <c r="E5" s="2"/>
      <c r="F5" s="2"/>
      <c r="G5" s="2"/>
      <c r="H5" s="2"/>
      <c r="I5" s="2"/>
      <c r="J5" s="2"/>
      <c r="K5" s="2"/>
      <c r="L5" s="2"/>
      <c r="M5" s="2"/>
      <c r="N5" s="2"/>
    </row>
    <row r="6" spans="1:14" ht="7.5" customHeight="1" x14ac:dyDescent="0.35"/>
    <row r="7" spans="1:14" ht="18.75" customHeight="1" x14ac:dyDescent="0.35">
      <c r="B7" s="1" t="s">
        <v>264</v>
      </c>
      <c r="C7" s="1"/>
      <c r="D7" s="1"/>
      <c r="E7" s="1"/>
      <c r="F7" s="1"/>
      <c r="G7" s="1"/>
      <c r="H7" s="1"/>
      <c r="I7" s="1"/>
      <c r="J7" s="1"/>
      <c r="K7" s="1"/>
      <c r="L7" s="1"/>
      <c r="M7" s="1"/>
      <c r="N7" s="1"/>
    </row>
    <row r="8" spans="1:14" ht="19.5" customHeight="1" x14ac:dyDescent="0.35">
      <c r="B8" s="8" t="str">
        <f>'MONTHLY INPUTS'!$D$10</f>
        <v>Reporting month:  Dec 2025      Marked complete.      Profitability inputs: complete.</v>
      </c>
      <c r="C8" s="8"/>
      <c r="D8" s="8"/>
      <c r="E8" s="8"/>
      <c r="F8" s="8"/>
      <c r="G8" s="8"/>
      <c r="H8" s="8"/>
      <c r="I8" s="8"/>
      <c r="J8" s="8"/>
      <c r="K8" s="8"/>
      <c r="L8" s="8"/>
      <c r="M8" s="8"/>
      <c r="N8" s="8"/>
    </row>
    <row r="9" spans="1:14" ht="7.5" customHeight="1" x14ac:dyDescent="0.35"/>
    <row r="10" spans="1:14" ht="18.75" customHeight="1" x14ac:dyDescent="0.35">
      <c r="B10" s="1" t="s">
        <v>357</v>
      </c>
      <c r="C10" s="1"/>
      <c r="D10" s="1"/>
      <c r="E10" s="1"/>
      <c r="F10" s="1"/>
      <c r="G10" s="1"/>
      <c r="H10" s="1"/>
      <c r="I10" s="1"/>
      <c r="J10" s="1"/>
      <c r="K10" s="1"/>
      <c r="L10" s="1"/>
      <c r="M10" s="1"/>
      <c r="N10" s="1"/>
    </row>
    <row r="11" spans="1:14" ht="15.75" customHeight="1" x14ac:dyDescent="0.35">
      <c r="B11" s="26" t="s">
        <v>214</v>
      </c>
      <c r="C11" s="60" t="s">
        <v>267</v>
      </c>
      <c r="D11" s="60" t="s">
        <v>268</v>
      </c>
      <c r="E11" s="60" t="s">
        <v>269</v>
      </c>
      <c r="F11" s="60" t="s">
        <v>270</v>
      </c>
      <c r="G11" s="123" t="s">
        <v>178</v>
      </c>
      <c r="H11" s="123"/>
      <c r="I11" s="124" t="s">
        <v>271</v>
      </c>
      <c r="J11" s="124"/>
      <c r="K11" s="124"/>
      <c r="L11" s="124"/>
      <c r="M11" s="124"/>
      <c r="N11" s="124"/>
    </row>
    <row r="12" spans="1:14" ht="18" customHeight="1" x14ac:dyDescent="0.35">
      <c r="B12" s="64" t="s">
        <v>358</v>
      </c>
      <c r="C12" s="74">
        <f>'KPI ANALYSIS'!C30</f>
        <v>487000</v>
      </c>
      <c r="D12" s="74">
        <f>'KPI ANALYSIS'!D30</f>
        <v>458000</v>
      </c>
      <c r="E12" s="75">
        <f>'KPI ANALYSIS'!E30</f>
        <v>29000</v>
      </c>
      <c r="F12" s="65">
        <f>'KPI ANALYSIS'!F30</f>
        <v>350000</v>
      </c>
      <c r="G12" s="125" t="str">
        <f>'KPI ANALYSIS'!$G$30</f>
        <v>Above Minimum</v>
      </c>
      <c r="H12" s="125"/>
      <c r="I12" s="106" t="s">
        <v>359</v>
      </c>
      <c r="J12" s="106"/>
      <c r="K12" s="106"/>
      <c r="L12" s="106"/>
      <c r="M12" s="106"/>
      <c r="N12" s="106"/>
    </row>
    <row r="13" spans="1:14" ht="18" customHeight="1" x14ac:dyDescent="0.35">
      <c r="B13" s="61" t="s">
        <v>126</v>
      </c>
      <c r="C13" s="63">
        <f>'KPI ANALYSIS'!C31</f>
        <v>903000</v>
      </c>
      <c r="D13" s="63">
        <f>'KPI ANALYSIS'!D31</f>
        <v>1033000</v>
      </c>
      <c r="E13" s="68">
        <f>'KPI ANALYSIS'!E31</f>
        <v>-130000</v>
      </c>
      <c r="F13" s="63" t="str">
        <f>'KPI ANALYSIS'!F31</f>
        <v>—</v>
      </c>
      <c r="G13" s="125" t="str">
        <f>'KPI ANALYSIS'!$G$31</f>
        <v>Monitor</v>
      </c>
      <c r="H13" s="125"/>
      <c r="I13" s="106" t="s">
        <v>360</v>
      </c>
      <c r="J13" s="106"/>
      <c r="K13" s="106"/>
      <c r="L13" s="106"/>
      <c r="M13" s="106"/>
      <c r="N13" s="106"/>
    </row>
    <row r="14" spans="1:14" ht="18" customHeight="1" x14ac:dyDescent="0.35">
      <c r="B14" s="61" t="s">
        <v>127</v>
      </c>
      <c r="C14" s="63">
        <f>'KPI ANALYSIS'!C32</f>
        <v>470000</v>
      </c>
      <c r="D14" s="63">
        <f>'KPI ANALYSIS'!D32</f>
        <v>537000</v>
      </c>
      <c r="E14" s="68">
        <f>'KPI ANALYSIS'!E32</f>
        <v>-67000</v>
      </c>
      <c r="F14" s="63" t="str">
        <f>'KPI ANALYSIS'!F32</f>
        <v>—</v>
      </c>
      <c r="G14" s="125" t="str">
        <f>'KPI ANALYSIS'!$G$32</f>
        <v>Monitor</v>
      </c>
      <c r="H14" s="125"/>
      <c r="I14" s="106" t="s">
        <v>361</v>
      </c>
      <c r="J14" s="106"/>
      <c r="K14" s="106"/>
      <c r="L14" s="106"/>
      <c r="M14" s="106"/>
      <c r="N14" s="106"/>
    </row>
    <row r="15" spans="1:14" ht="18" customHeight="1" x14ac:dyDescent="0.35">
      <c r="B15" s="64" t="s">
        <v>362</v>
      </c>
      <c r="C15" s="74">
        <f>IF(RepOK=0,"Select Month 1–12",IF(INDEX(WcOK,RepIdx)=0,"Incomplete",INDEX(MCA,RepIdx)-INDEX(MCL,RepIdx)))</f>
        <v>632000</v>
      </c>
      <c r="D15" s="74">
        <f>IF(RepOK=0,"N/M",IF(RepIdx&lt;=1,"No Prior",IF(INDEX(WcOK,RepIdx-1)=0,"Incomplete",INDEX(MCA,RepIdx-1)-INDEX(MCL,RepIdx-1))))</f>
        <v>654000</v>
      </c>
      <c r="E15" s="75">
        <f>IF(RepOK=0,"N/M",IF(RepIdx&lt;=1,"No Prior",IF(OR(NOT(ISNUMBER($C$15)),NOT(ISNUMBER($D$15))),"N/M",IF(MoMProv=1,"Provisional",$C$15-$D$15))))</f>
        <v>-22000</v>
      </c>
      <c r="F15" s="87" t="str">
        <f>"—"</f>
        <v>—</v>
      </c>
      <c r="G15" s="125" t="str">
        <f>IF(RepOK=0,"Select Month 1–12",IF(INDEX(WcOK,RepIdx)=0,"Missing Working Capital",IF(NOT(ISNUMBER($C$15)),$C$15,IF(RepDone=0,"Provisional","Context Dependent"))))</f>
        <v>Context Dependent</v>
      </c>
      <c r="H15" s="125"/>
      <c r="I15" s="106" t="s">
        <v>363</v>
      </c>
      <c r="J15" s="106"/>
      <c r="K15" s="106"/>
      <c r="L15" s="106"/>
      <c r="M15" s="106"/>
      <c r="N15" s="106"/>
    </row>
    <row r="16" spans="1:14" ht="18" customHeight="1" x14ac:dyDescent="0.35">
      <c r="B16" s="61" t="s">
        <v>60</v>
      </c>
      <c r="C16" s="76">
        <f>'KPI ANALYSIS'!C33</f>
        <v>1.7890137328339575</v>
      </c>
      <c r="D16" s="76">
        <f>'KPI ANALYSIS'!D33</f>
        <v>1.740656851642129</v>
      </c>
      <c r="E16" s="77">
        <f>'KPI ANALYSIS'!E33</f>
        <v>4.835688119182846E-2</v>
      </c>
      <c r="F16" s="76" t="str">
        <f>'KPI ANALYSIS'!F33</f>
        <v>—</v>
      </c>
      <c r="G16" s="125" t="str">
        <f>'KPI ANALYSIS'!$G$33</f>
        <v>Context Dependent</v>
      </c>
      <c r="H16" s="125"/>
      <c r="I16" s="106" t="s">
        <v>295</v>
      </c>
      <c r="J16" s="106"/>
      <c r="K16" s="106"/>
      <c r="L16" s="106"/>
      <c r="M16" s="106"/>
      <c r="N16" s="106"/>
    </row>
    <row r="17" spans="2:14" ht="18" customHeight="1" x14ac:dyDescent="0.35">
      <c r="B17" s="64" t="s">
        <v>56</v>
      </c>
      <c r="C17" s="78">
        <f>'KPI ANALYSIS'!C34</f>
        <v>52.984365952518814</v>
      </c>
      <c r="D17" s="78">
        <f>'KPI ANALYSIS'!D34</f>
        <v>55.016117729502454</v>
      </c>
      <c r="E17" s="79">
        <f>'KPI ANALYSIS'!E34</f>
        <v>-2.03175177698364</v>
      </c>
      <c r="F17" s="80">
        <f>'KPI ANALYSIS'!F34</f>
        <v>55</v>
      </c>
      <c r="G17" s="125" t="str">
        <f>'KPI ANALYSIS'!$G$34</f>
        <v>Below Target</v>
      </c>
      <c r="H17" s="125"/>
      <c r="I17" s="106" t="s">
        <v>364</v>
      </c>
      <c r="J17" s="106"/>
      <c r="K17" s="106"/>
      <c r="L17" s="106"/>
      <c r="M17" s="106"/>
      <c r="N17" s="106"/>
    </row>
    <row r="18" spans="2:14" ht="18" customHeight="1" x14ac:dyDescent="0.35">
      <c r="B18" s="61" t="s">
        <v>297</v>
      </c>
      <c r="C18" s="76">
        <f>'KPI ANALYSIS'!C35</f>
        <v>0.98130087853631009</v>
      </c>
      <c r="D18" s="76">
        <f>'KPI ANALYSIS'!D35</f>
        <v>0.8556269615901958</v>
      </c>
      <c r="E18" s="77">
        <f>'KPI ANALYSIS'!E35</f>
        <v>0.12567391694611429</v>
      </c>
      <c r="F18" s="76">
        <f>'KPI ANALYSIS'!F35</f>
        <v>0.75</v>
      </c>
      <c r="G18" s="125" t="str">
        <f>'KPI ANALYSIS'!$G$35</f>
        <v>Above Target</v>
      </c>
      <c r="H18" s="125"/>
      <c r="I18" s="106" t="s">
        <v>365</v>
      </c>
      <c r="J18" s="106"/>
      <c r="K18" s="106"/>
      <c r="L18" s="106"/>
      <c r="M18" s="106"/>
      <c r="N18" s="106"/>
    </row>
    <row r="19" spans="2:14" ht="15.75" customHeight="1" x14ac:dyDescent="0.35">
      <c r="B19" s="99" t="s">
        <v>366</v>
      </c>
      <c r="C19" s="99"/>
      <c r="D19" s="99"/>
      <c r="E19" s="99"/>
      <c r="F19" s="99"/>
      <c r="G19" s="99"/>
      <c r="H19" s="99"/>
      <c r="I19" s="99"/>
      <c r="J19" s="99"/>
      <c r="K19" s="99"/>
      <c r="L19" s="99"/>
      <c r="M19" s="99"/>
      <c r="N19" s="99"/>
    </row>
    <row r="20" spans="2:14" ht="7.5" customHeight="1" x14ac:dyDescent="0.35"/>
    <row r="21" spans="2:14" ht="18.75" customHeight="1" x14ac:dyDescent="0.35">
      <c r="B21" s="1" t="s">
        <v>367</v>
      </c>
      <c r="C21" s="1"/>
      <c r="D21" s="1"/>
      <c r="E21" s="1"/>
      <c r="F21" s="1"/>
      <c r="G21" s="1"/>
      <c r="H21" s="1"/>
      <c r="I21" s="1"/>
      <c r="J21" s="1"/>
      <c r="K21" s="1"/>
      <c r="L21" s="1"/>
      <c r="M21" s="1"/>
      <c r="N21" s="1"/>
    </row>
    <row r="22" spans="2:14" ht="15.75" customHeight="1" x14ac:dyDescent="0.35">
      <c r="B22" s="26" t="s">
        <v>214</v>
      </c>
      <c r="C22" s="27" t="str">
        <f>'MONTHLY INPUTS'!C13</f>
        <v>Jan 2025</v>
      </c>
      <c r="D22" s="27" t="str">
        <f>'MONTHLY INPUTS'!D13</f>
        <v>Feb 2025</v>
      </c>
      <c r="E22" s="27" t="str">
        <f>'MONTHLY INPUTS'!E13</f>
        <v>Mar 2025</v>
      </c>
      <c r="F22" s="27" t="str">
        <f>'MONTHLY INPUTS'!F13</f>
        <v>Apr 2025</v>
      </c>
      <c r="G22" s="27" t="str">
        <f>'MONTHLY INPUTS'!G13</f>
        <v>May 2025</v>
      </c>
      <c r="H22" s="27" t="str">
        <f>'MONTHLY INPUTS'!H13</f>
        <v>Jun 2025</v>
      </c>
      <c r="I22" s="27" t="str">
        <f>'MONTHLY INPUTS'!I13</f>
        <v>Jul 2025</v>
      </c>
      <c r="J22" s="27" t="str">
        <f>'MONTHLY INPUTS'!J13</f>
        <v>Aug 2025</v>
      </c>
      <c r="K22" s="27" t="str">
        <f>'MONTHLY INPUTS'!K13</f>
        <v>Sep 2025</v>
      </c>
      <c r="L22" s="27" t="str">
        <f>'MONTHLY INPUTS'!L13</f>
        <v>Oct 2025</v>
      </c>
      <c r="M22" s="27" t="str">
        <f>'MONTHLY INPUTS'!M13</f>
        <v>Nov 2025</v>
      </c>
      <c r="N22" s="27" t="str">
        <f>'MONTHLY INPUTS'!N13</f>
        <v>Dec 2025</v>
      </c>
    </row>
    <row r="23" spans="2:14" ht="16.5" customHeight="1" x14ac:dyDescent="0.35">
      <c r="B23" s="22" t="s">
        <v>125</v>
      </c>
      <c r="C23" s="55">
        <f>'MONTHLY INPUTS'!C61</f>
        <v>248000</v>
      </c>
      <c r="D23" s="55">
        <f>'MONTHLY INPUTS'!D61</f>
        <v>226000</v>
      </c>
      <c r="E23" s="55">
        <f>'MONTHLY INPUTS'!E61</f>
        <v>214000</v>
      </c>
      <c r="F23" s="55">
        <f>'MONTHLY INPUTS'!F61</f>
        <v>209000</v>
      </c>
      <c r="G23" s="55">
        <f>'MONTHLY INPUTS'!G61</f>
        <v>198000</v>
      </c>
      <c r="H23" s="55">
        <f>'MONTHLY INPUTS'!H61</f>
        <v>221000</v>
      </c>
      <c r="I23" s="55">
        <f>'MONTHLY INPUTS'!I61</f>
        <v>256000</v>
      </c>
      <c r="J23" s="55">
        <f>'MONTHLY INPUTS'!J61</f>
        <v>312000</v>
      </c>
      <c r="K23" s="55">
        <f>'MONTHLY INPUTS'!K61</f>
        <v>368000</v>
      </c>
      <c r="L23" s="55">
        <f>'MONTHLY INPUTS'!L61</f>
        <v>421000</v>
      </c>
      <c r="M23" s="55">
        <f>'MONTHLY INPUTS'!M61</f>
        <v>458000</v>
      </c>
      <c r="N23" s="55">
        <f>'MONTHLY INPUTS'!N61</f>
        <v>487000</v>
      </c>
    </row>
    <row r="24" spans="2:14" ht="16.5" customHeight="1" x14ac:dyDescent="0.35">
      <c r="B24" s="22" t="s">
        <v>126</v>
      </c>
      <c r="C24" s="55">
        <f>'MONTHLY INPUTS'!C62</f>
        <v>764000</v>
      </c>
      <c r="D24" s="55">
        <f>'MONTHLY INPUTS'!D62</f>
        <v>740000</v>
      </c>
      <c r="E24" s="55">
        <f>'MONTHLY INPUTS'!E62</f>
        <v>940000</v>
      </c>
      <c r="F24" s="55">
        <f>'MONTHLY INPUTS'!F62</f>
        <v>1168000</v>
      </c>
      <c r="G24" s="55">
        <f>'MONTHLY INPUTS'!G62</f>
        <v>1411000</v>
      </c>
      <c r="H24" s="55">
        <f>'MONTHLY INPUTS'!H62</f>
        <v>1633000</v>
      </c>
      <c r="I24" s="55">
        <f>'MONTHLY INPUTS'!I62</f>
        <v>1831000</v>
      </c>
      <c r="J24" s="55">
        <f>'MONTHLY INPUTS'!J62</f>
        <v>1718000</v>
      </c>
      <c r="K24" s="55">
        <f>'MONTHLY INPUTS'!K62</f>
        <v>1469000</v>
      </c>
      <c r="L24" s="55">
        <f>'MONTHLY INPUTS'!L62</f>
        <v>1248000</v>
      </c>
      <c r="M24" s="55">
        <f>'MONTHLY INPUTS'!M62</f>
        <v>1033000</v>
      </c>
      <c r="N24" s="55">
        <f>'MONTHLY INPUTS'!N62</f>
        <v>903000</v>
      </c>
    </row>
    <row r="25" spans="2:14" ht="16.5" customHeight="1" x14ac:dyDescent="0.35">
      <c r="B25" s="22" t="s">
        <v>127</v>
      </c>
      <c r="C25" s="55">
        <f>'MONTHLY INPUTS'!C63</f>
        <v>397000</v>
      </c>
      <c r="D25" s="55">
        <f>'MONTHLY INPUTS'!D63</f>
        <v>385000</v>
      </c>
      <c r="E25" s="55">
        <f>'MONTHLY INPUTS'!E63</f>
        <v>489000</v>
      </c>
      <c r="F25" s="55">
        <f>'MONTHLY INPUTS'!F63</f>
        <v>607000</v>
      </c>
      <c r="G25" s="55">
        <f>'MONTHLY INPUTS'!G63</f>
        <v>734000</v>
      </c>
      <c r="H25" s="55">
        <f>'MONTHLY INPUTS'!H63</f>
        <v>849000</v>
      </c>
      <c r="I25" s="55">
        <f>'MONTHLY INPUTS'!I63</f>
        <v>952000</v>
      </c>
      <c r="J25" s="55">
        <f>'MONTHLY INPUTS'!J63</f>
        <v>893000</v>
      </c>
      <c r="K25" s="55">
        <f>'MONTHLY INPUTS'!K63</f>
        <v>764000</v>
      </c>
      <c r="L25" s="55">
        <f>'MONTHLY INPUTS'!L63</f>
        <v>649000</v>
      </c>
      <c r="M25" s="55">
        <f>'MONTHLY INPUTS'!M63</f>
        <v>537000</v>
      </c>
      <c r="N25" s="55">
        <f>'MONTHLY INPUTS'!N63</f>
        <v>470000</v>
      </c>
    </row>
    <row r="26" spans="2:14" ht="16.5" customHeight="1" x14ac:dyDescent="0.35">
      <c r="B26" s="22" t="s">
        <v>362</v>
      </c>
      <c r="C26" s="55">
        <f>IF(AND(ISNUMBER('MONTHLY INPUTS'!C64),ISNUMBER('MONTHLY INPUTS'!C65)),'MONTHLY INPUTS'!C64-'MONTHLY INPUTS'!C65,"")</f>
        <v>339000</v>
      </c>
      <c r="D26" s="55">
        <f>IF(AND(ISNUMBER('MONTHLY INPUTS'!D64),ISNUMBER('MONTHLY INPUTS'!D65)),'MONTHLY INPUTS'!D64-'MONTHLY INPUTS'!D65,"")</f>
        <v>313000</v>
      </c>
      <c r="E26" s="55">
        <f>IF(AND(ISNUMBER('MONTHLY INPUTS'!E64),ISNUMBER('MONTHLY INPUTS'!E65)),'MONTHLY INPUTS'!E64-'MONTHLY INPUTS'!E65,"")</f>
        <v>379000</v>
      </c>
      <c r="F26" s="55">
        <f>IF(AND(ISNUMBER('MONTHLY INPUTS'!F64),ISNUMBER('MONTHLY INPUTS'!F65)),'MONTHLY INPUTS'!F64-'MONTHLY INPUTS'!F65,"")</f>
        <v>455000</v>
      </c>
      <c r="G26" s="55">
        <f>IF(AND(ISNUMBER('MONTHLY INPUTS'!G64),ISNUMBER('MONTHLY INPUTS'!G65)),'MONTHLY INPUTS'!G64-'MONTHLY INPUTS'!G65,"")</f>
        <v>538000</v>
      </c>
      <c r="H26" s="55">
        <f>IF(AND(ISNUMBER('MONTHLY INPUTS'!H64),ISNUMBER('MONTHLY INPUTS'!H65)),'MONTHLY INPUTS'!H64-'MONTHLY INPUTS'!H65,"")</f>
        <v>647000</v>
      </c>
      <c r="I26" s="55">
        <f>IF(AND(ISNUMBER('MONTHLY INPUTS'!I64),ISNUMBER('MONTHLY INPUTS'!I65)),'MONTHLY INPUTS'!I64-'MONTHLY INPUTS'!I65,"")</f>
        <v>763000</v>
      </c>
      <c r="J26" s="55">
        <f>IF(AND(ISNUMBER('MONTHLY INPUTS'!J64),ISNUMBER('MONTHLY INPUTS'!J65)),'MONTHLY INPUTS'!J64-'MONTHLY INPUTS'!J65,"")</f>
        <v>773000</v>
      </c>
      <c r="K26" s="55">
        <f>IF(AND(ISNUMBER('MONTHLY INPUTS'!K64),ISNUMBER('MONTHLY INPUTS'!K65)),'MONTHLY INPUTS'!K64-'MONTHLY INPUTS'!K65,"")</f>
        <v>730000</v>
      </c>
      <c r="L26" s="55">
        <f>IF(AND(ISNUMBER('MONTHLY INPUTS'!L64),ISNUMBER('MONTHLY INPUTS'!L65)),'MONTHLY INPUTS'!L64-'MONTHLY INPUTS'!L65,"")</f>
        <v>698000</v>
      </c>
      <c r="M26" s="55">
        <f>IF(AND(ISNUMBER('MONTHLY INPUTS'!M64),ISNUMBER('MONTHLY INPUTS'!M65)),'MONTHLY INPUTS'!M64-'MONTHLY INPUTS'!M65,"")</f>
        <v>654000</v>
      </c>
      <c r="N26" s="55">
        <f>IF(AND(ISNUMBER('MONTHLY INPUTS'!N64),ISNUMBER('MONTHLY INPUTS'!N65)),'MONTHLY INPUTS'!N64-'MONTHLY INPUTS'!N65,"")</f>
        <v>632000</v>
      </c>
    </row>
    <row r="27" spans="2:14" ht="16.5" customHeight="1" x14ac:dyDescent="0.35">
      <c r="B27" s="22" t="s">
        <v>60</v>
      </c>
      <c r="C27" s="88">
        <f>IF(OR(NOT(ISNUMBER('MONTHLY INPUTS'!C64)),NOT(ISNUMBER('MONTHLY INPUTS'!C65))),"",IF('MONTHLY INPUTS'!C65=0,"N/M",'MONTHLY INPUTS'!C64/'MONTHLY INPUTS'!C65))</f>
        <v>1.474125874125874</v>
      </c>
      <c r="D27" s="88">
        <f>IF(OR(NOT(ISNUMBER('MONTHLY INPUTS'!D64)),NOT(ISNUMBER('MONTHLY INPUTS'!D65))),"",IF('MONTHLY INPUTS'!D65=0,"N/M",'MONTHLY INPUTS'!D64/'MONTHLY INPUTS'!D65))</f>
        <v>1.4529667149059333</v>
      </c>
      <c r="E27" s="88">
        <f>IF(OR(NOT(ISNUMBER('MONTHLY INPUTS'!E64)),NOT(ISNUMBER('MONTHLY INPUTS'!E65))),"",IF('MONTHLY INPUTS'!E65=0,"N/M",'MONTHLY INPUTS'!E64/'MONTHLY INPUTS'!E65))</f>
        <v>1.4616321559074299</v>
      </c>
      <c r="F27" s="88">
        <f>IF(OR(NOT(ISNUMBER('MONTHLY INPUTS'!F64)),NOT(ISNUMBER('MONTHLY INPUTS'!F65))),"",IF('MONTHLY INPUTS'!F65=0,"N/M",'MONTHLY INPUTS'!F64/'MONTHLY INPUTS'!F65))</f>
        <v>1.4666666666666666</v>
      </c>
      <c r="G27" s="88">
        <f>IF(OR(NOT(ISNUMBER('MONTHLY INPUTS'!G64)),NOT(ISNUMBER('MONTHLY INPUTS'!G65))),"",IF('MONTHLY INPUTS'!G65=0,"N/M",'MONTHLY INPUTS'!G64/'MONTHLY INPUTS'!G65))</f>
        <v>1.4752650176678446</v>
      </c>
      <c r="H27" s="88">
        <f>IF(OR(NOT(ISNUMBER('MONTHLY INPUTS'!H64)),NOT(ISNUMBER('MONTHLY INPUTS'!H65))),"",IF('MONTHLY INPUTS'!H65=0,"N/M",'MONTHLY INPUTS'!H64/'MONTHLY INPUTS'!H65))</f>
        <v>1.5082482325216024</v>
      </c>
      <c r="I27" s="88">
        <f>IF(OR(NOT(ISNUMBER('MONTHLY INPUTS'!I64)),NOT(ISNUMBER('MONTHLY INPUTS'!I65))),"",IF('MONTHLY INPUTS'!I65=0,"N/M",'MONTHLY INPUTS'!I64/'MONTHLY INPUTS'!I65))</f>
        <v>1.5477386934673367</v>
      </c>
      <c r="J27" s="88">
        <f>IF(OR(NOT(ISNUMBER('MONTHLY INPUTS'!J64)),NOT(ISNUMBER('MONTHLY INPUTS'!J65))),"",IF('MONTHLY INPUTS'!J65=0,"N/M",'MONTHLY INPUTS'!J64/'MONTHLY INPUTS'!J65))</f>
        <v>1.5851627554882666</v>
      </c>
      <c r="K27" s="88">
        <f>IF(OR(NOT(ISNUMBER('MONTHLY INPUTS'!K64)),NOT(ISNUMBER('MONTHLY INPUTS'!K65))),"",IF('MONTHLY INPUTS'!K65=0,"N/M",'MONTHLY INPUTS'!K64/'MONTHLY INPUTS'!K65))</f>
        <v>1.6266094420600858</v>
      </c>
      <c r="L27" s="88">
        <f>IF(OR(NOT(ISNUMBER('MONTHLY INPUTS'!L64)),NOT(ISNUMBER('MONTHLY INPUTS'!L65))),"",IF('MONTHLY INPUTS'!L65=0,"N/M",'MONTHLY INPUTS'!L64/'MONTHLY INPUTS'!L65))</f>
        <v>1.6823069403714566</v>
      </c>
      <c r="M27" s="88">
        <f>IF(OR(NOT(ISNUMBER('MONTHLY INPUTS'!M64)),NOT(ISNUMBER('MONTHLY INPUTS'!M65))),"",IF('MONTHLY INPUTS'!M65=0,"N/M",'MONTHLY INPUTS'!M64/'MONTHLY INPUTS'!M65))</f>
        <v>1.740656851642129</v>
      </c>
      <c r="N27" s="88">
        <f>IF(OR(NOT(ISNUMBER('MONTHLY INPUTS'!N64)),NOT(ISNUMBER('MONTHLY INPUTS'!N65))),"",IF('MONTHLY INPUTS'!N65=0,"N/M",'MONTHLY INPUTS'!N64/'MONTHLY INPUTS'!N65))</f>
        <v>1.7890137328339575</v>
      </c>
    </row>
    <row r="28" spans="2:14" ht="16.5" customHeight="1" x14ac:dyDescent="0.35">
      <c r="B28" s="29" t="s">
        <v>56</v>
      </c>
      <c r="C28" s="89">
        <f>IF(OR(NOT(ISNUMBER('MONTHLY INPUTS'!C62)),NOT(ISNUMBER('MONTHLY INPUTS'!C22))),"",IF('MONTHLY INPUTS'!C22=0,"N/M",'MONTHLY INPUTS'!C62/'MONTHLY INPUTS'!C22*30.4))</f>
        <v>52.017021276595742</v>
      </c>
      <c r="D28" s="89">
        <f>IF(OR(NOT(ISNUMBER('MONTHLY INPUTS'!D62)),NOT(ISNUMBER('MONTHLY INPUTS'!D22))),"",IF('MONTHLY INPUTS'!D22=0,"N/M",'MONTHLY INPUTS'!D62/'MONTHLY INPUTS'!D22*30.4))</f>
        <v>53.973128598848362</v>
      </c>
      <c r="E28" s="89">
        <f>IF(OR(NOT(ISNUMBER('MONTHLY INPUTS'!E62)),NOT(ISNUMBER('MONTHLY INPUTS'!E22))),"",IF('MONTHLY INPUTS'!E22=0,"N/M",'MONTHLY INPUTS'!E62/'MONTHLY INPUTS'!E22*30.4))</f>
        <v>57.015163607342373</v>
      </c>
      <c r="F28" s="89">
        <f>IF(OR(NOT(ISNUMBER('MONTHLY INPUTS'!F62)),NOT(ISNUMBER('MONTHLY INPUTS'!F22))),"",IF('MONTHLY INPUTS'!F22=0,"N/M",'MONTHLY INPUTS'!F62/'MONTHLY INPUTS'!F22*30.4))</f>
        <v>60.998453873904822</v>
      </c>
      <c r="G28" s="89">
        <f>IF(OR(NOT(ISNUMBER('MONTHLY INPUTS'!G62)),NOT(ISNUMBER('MONTHLY INPUTS'!G22))),"",IF('MONTHLY INPUTS'!G22=0,"N/M",'MONTHLY INPUTS'!G62/'MONTHLY INPUTS'!G22*30.4))</f>
        <v>63.983293556085918</v>
      </c>
      <c r="H28" s="89">
        <f>IF(OR(NOT(ISNUMBER('MONTHLY INPUTS'!H62)),NOT(ISNUMBER('MONTHLY INPUTS'!H22))),"",IF('MONTHLY INPUTS'!H22=0,"N/M",'MONTHLY INPUTS'!H62/'MONTHLY INPUTS'!H22*30.4))</f>
        <v>67.985757326759796</v>
      </c>
      <c r="I28" s="89">
        <f>IF(OR(NOT(ISNUMBER('MONTHLY INPUTS'!I62)),NOT(ISNUMBER('MONTHLY INPUTS'!I22))),"",IF('MONTHLY INPUTS'!I22=0,"N/M",'MONTHLY INPUTS'!I62/'MONTHLY INPUTS'!I22*30.4))</f>
        <v>71.016075529471792</v>
      </c>
      <c r="J28" s="89">
        <f>IF(OR(NOT(ISNUMBER('MONTHLY INPUTS'!J62)),NOT(ISNUMBER('MONTHLY INPUTS'!J22))),"",IF('MONTHLY INPUTS'!J22=0,"N/M",'MONTHLY INPUTS'!J62/'MONTHLY INPUTS'!J22*30.4))</f>
        <v>68.983225465592383</v>
      </c>
      <c r="K28" s="89">
        <f>IF(OR(NOT(ISNUMBER('MONTHLY INPUTS'!K62)),NOT(ISNUMBER('MONTHLY INPUTS'!K22))),"",IF('MONTHLY INPUTS'!K22=0,"N/M",'MONTHLY INPUTS'!K62/'MONTHLY INPUTS'!K22*30.4))</f>
        <v>64.016055045871568</v>
      </c>
      <c r="L28" s="89">
        <f>IF(OR(NOT(ISNUMBER('MONTHLY INPUTS'!L62)),NOT(ISNUMBER('MONTHLY INPUTS'!L22))),"",IF('MONTHLY INPUTS'!L22=0,"N/M",'MONTHLY INPUTS'!L62/'MONTHLY INPUTS'!L22*30.4))</f>
        <v>59.012599160055991</v>
      </c>
      <c r="M28" s="89">
        <f>IF(OR(NOT(ISNUMBER('MONTHLY INPUTS'!M62)),NOT(ISNUMBER('MONTHLY INPUTS'!M22))),"",IF('MONTHLY INPUTS'!M22=0,"N/M",'MONTHLY INPUTS'!M62/'MONTHLY INPUTS'!M22*30.4))</f>
        <v>55.016117729502454</v>
      </c>
      <c r="N28" s="90">
        <f>IF(OR(NOT(ISNUMBER('MONTHLY INPUTS'!N62)),NOT(ISNUMBER('MONTHLY INPUTS'!N22))),"",IF('MONTHLY INPUTS'!N22=0,"N/M",'MONTHLY INPUTS'!N62/'MONTHLY INPUTS'!N22*30.4))</f>
        <v>52.984365952518814</v>
      </c>
    </row>
    <row r="29" spans="2:14" ht="16.5" customHeight="1" x14ac:dyDescent="0.35">
      <c r="B29" s="22" t="s">
        <v>297</v>
      </c>
      <c r="C29" s="88">
        <f>IF(OR(NOT(ISNUMBER('MONTHLY INPUTS'!C61)),NOT(ISNUMBER('MONTHLY INPUTS'!C32)),NOT(ISNUMBER('MONTHLY INPUTS'!C48))),"",IF('MONTHLY INPUTS'!C32+'MONTHLY INPUTS'!C48=0,"N/M",'MONTHLY INPUTS'!C61/('MONTHLY INPUTS'!C32+'MONTHLY INPUTS'!C48)))</f>
        <v>0.57294674829617653</v>
      </c>
      <c r="D29" s="88">
        <f>IF(OR(NOT(ISNUMBER('MONTHLY INPUTS'!D61)),NOT(ISNUMBER('MONTHLY INPUTS'!D32)),NOT(ISNUMBER('MONTHLY INPUTS'!D48))),"",IF('MONTHLY INPUTS'!D32+'MONTHLY INPUTS'!D48=0,"N/M",'MONTHLY INPUTS'!D61/('MONTHLY INPUTS'!D32+'MONTHLY INPUTS'!D48)))</f>
        <v>0.54112294983838138</v>
      </c>
      <c r="E29" s="88">
        <f>IF(OR(NOT(ISNUMBER('MONTHLY INPUTS'!E61)),NOT(ISNUMBER('MONTHLY INPUTS'!E32)),NOT(ISNUMBER('MONTHLY INPUTS'!E48))),"",IF('MONTHLY INPUTS'!E32+'MONTHLY INPUTS'!E48=0,"N/M",'MONTHLY INPUTS'!E61/('MONTHLY INPUTS'!E32+'MONTHLY INPUTS'!E48)))</f>
        <v>0.44301832108477385</v>
      </c>
      <c r="F29" s="88">
        <f>IF(OR(NOT(ISNUMBER('MONTHLY INPUTS'!F61)),NOT(ISNUMBER('MONTHLY INPUTS'!F32)),NOT(ISNUMBER('MONTHLY INPUTS'!F48))),"",IF('MONTHLY INPUTS'!F32+'MONTHLY INPUTS'!F48=0,"N/M",'MONTHLY INPUTS'!F61/('MONTHLY INPUTS'!F32+'MONTHLY INPUTS'!F48)))</f>
        <v>0.37733805156351558</v>
      </c>
      <c r="G29" s="88">
        <f>IF(OR(NOT(ISNUMBER('MONTHLY INPUTS'!G61)),NOT(ISNUMBER('MONTHLY INPUTS'!G32)),NOT(ISNUMBER('MONTHLY INPUTS'!G48))),"",IF('MONTHLY INPUTS'!G32+'MONTHLY INPUTS'!G48=0,"N/M",'MONTHLY INPUTS'!G61/('MONTHLY INPUTS'!G32+'MONTHLY INPUTS'!G48)))</f>
        <v>0.31221419786180582</v>
      </c>
      <c r="H29" s="88">
        <f>IF(OR(NOT(ISNUMBER('MONTHLY INPUTS'!H61)),NOT(ISNUMBER('MONTHLY INPUTS'!H32)),NOT(ISNUMBER('MONTHLY INPUTS'!H48))),"",IF('MONTHLY INPUTS'!H32+'MONTHLY INPUTS'!H48=0,"N/M",'MONTHLY INPUTS'!H61/('MONTHLY INPUTS'!H32+'MONTHLY INPUTS'!H48)))</f>
        <v>0.31868258637595892</v>
      </c>
      <c r="I29" s="88">
        <f>IF(OR(NOT(ISNUMBER('MONTHLY INPUTS'!I61)),NOT(ISNUMBER('MONTHLY INPUTS'!I32)),NOT(ISNUMBER('MONTHLY INPUTS'!I48))),"",IF('MONTHLY INPUTS'!I32+'MONTHLY INPUTS'!I48=0,"N/M",'MONTHLY INPUTS'!I61/('MONTHLY INPUTS'!I32+'MONTHLY INPUTS'!I48)))</f>
        <v>0.34248407984160112</v>
      </c>
      <c r="J29" s="88">
        <f>IF(OR(NOT(ISNUMBER('MONTHLY INPUTS'!J61)),NOT(ISNUMBER('MONTHLY INPUTS'!J32)),NOT(ISNUMBER('MONTHLY INPUTS'!J48))),"",IF('MONTHLY INPUTS'!J32+'MONTHLY INPUTS'!J48=0,"N/M",'MONTHLY INPUTS'!J61/('MONTHLY INPUTS'!J32+'MONTHLY INPUTS'!J48)))</f>
        <v>0.43710947350724311</v>
      </c>
      <c r="K29" s="88">
        <f>IF(OR(NOT(ISNUMBER('MONTHLY INPUTS'!K61)),NOT(ISNUMBER('MONTHLY INPUTS'!K32)),NOT(ISNUMBER('MONTHLY INPUTS'!K48))),"",IF('MONTHLY INPUTS'!K32+'MONTHLY INPUTS'!K48=0,"N/M",'MONTHLY INPUTS'!K61/('MONTHLY INPUTS'!K32+'MONTHLY INPUTS'!K48)))</f>
        <v>0.5625793038081115</v>
      </c>
      <c r="L29" s="88">
        <f>IF(OR(NOT(ISNUMBER('MONTHLY INPUTS'!L61)),NOT(ISNUMBER('MONTHLY INPUTS'!L32)),NOT(ISNUMBER('MONTHLY INPUTS'!L48))),"",IF('MONTHLY INPUTS'!L32+'MONTHLY INPUTS'!L48=0,"N/M",'MONTHLY INPUTS'!L61/('MONTHLY INPUTS'!L32+'MONTHLY INPUTS'!L48)))</f>
        <v>0.70174853732935505</v>
      </c>
      <c r="M29" s="88">
        <f>IF(OR(NOT(ISNUMBER('MONTHLY INPUTS'!M61)),NOT(ISNUMBER('MONTHLY INPUTS'!M32)),NOT(ISNUMBER('MONTHLY INPUTS'!M48))),"",IF('MONTHLY INPUTS'!M32+'MONTHLY INPUTS'!M48=0,"N/M",'MONTHLY INPUTS'!M61/('MONTHLY INPUTS'!M32+'MONTHLY INPUTS'!M48)))</f>
        <v>0.8556269615901958</v>
      </c>
      <c r="N29" s="88">
        <f>IF(OR(NOT(ISNUMBER('MONTHLY INPUTS'!N61)),NOT(ISNUMBER('MONTHLY INPUTS'!N32)),NOT(ISNUMBER('MONTHLY INPUTS'!N48))),"",IF('MONTHLY INPUTS'!N32+'MONTHLY INPUTS'!N48=0,"N/M",'MONTHLY INPUTS'!N61/('MONTHLY INPUTS'!N32+'MONTHLY INPUTS'!N48)))</f>
        <v>0.98130087853631009</v>
      </c>
    </row>
    <row r="30" spans="2:14" ht="18" customHeight="1" x14ac:dyDescent="0.35">
      <c r="B30" s="99" t="str">
        <f>IF(ProvWC=0,"A blank month means the inputs that measure needs have not been entered for that month. It does not mean zero.","Trend includes provisional month(s) — "&amp;TEXT(ProvWC,"0")&amp;" month(s) above carry data but are not marked complete. A blank month means the inputs that measure needs have not been entered.")</f>
        <v>A blank month means the inputs that measure needs have not been entered for that month. It does not mean zero.</v>
      </c>
      <c r="C30" s="99"/>
      <c r="D30" s="99"/>
      <c r="E30" s="99"/>
      <c r="F30" s="99"/>
      <c r="G30" s="99"/>
      <c r="H30" s="99"/>
      <c r="I30" s="99"/>
      <c r="J30" s="99"/>
      <c r="K30" s="99"/>
      <c r="L30" s="99"/>
      <c r="M30" s="99"/>
      <c r="N30" s="99"/>
    </row>
    <row r="31" spans="2:14" ht="7.5" customHeight="1" x14ac:dyDescent="0.35"/>
    <row r="32" spans="2:14" ht="18.75" customHeight="1" x14ac:dyDescent="0.35">
      <c r="B32" s="1" t="s">
        <v>368</v>
      </c>
      <c r="C32" s="1"/>
      <c r="D32" s="1"/>
      <c r="E32" s="1"/>
      <c r="F32" s="1"/>
      <c r="G32" s="1"/>
      <c r="H32" s="1"/>
      <c r="I32" s="1"/>
      <c r="J32" s="1"/>
      <c r="K32" s="1"/>
      <c r="L32" s="1"/>
      <c r="M32" s="1"/>
      <c r="N32" s="1"/>
    </row>
    <row r="33" spans="2:14" ht="39.75" customHeight="1" x14ac:dyDescent="0.35">
      <c r="B33" s="127" t="s">
        <v>369</v>
      </c>
      <c r="C33" s="127"/>
      <c r="D33" s="127"/>
      <c r="E33" s="127"/>
      <c r="F33" s="127"/>
      <c r="G33" s="127"/>
      <c r="H33" s="127"/>
      <c r="I33" s="127"/>
      <c r="J33" s="127"/>
      <c r="K33" s="127"/>
      <c r="L33" s="127"/>
      <c r="M33" s="127"/>
      <c r="N33" s="127"/>
    </row>
    <row r="35" spans="2:14" ht="13.5" customHeight="1" x14ac:dyDescent="0.35">
      <c r="B35" s="100" t="s">
        <v>370</v>
      </c>
      <c r="C35" s="100"/>
      <c r="D35" s="100"/>
      <c r="E35" s="100"/>
      <c r="F35" s="100"/>
      <c r="G35" s="100"/>
      <c r="H35" s="100"/>
      <c r="I35" s="100"/>
      <c r="J35" s="100"/>
      <c r="K35" s="100"/>
      <c r="L35" s="100"/>
      <c r="M35" s="100"/>
      <c r="N35" s="100"/>
    </row>
  </sheetData>
  <sheetProtection sheet="1" formatCells="0" formatColumns="0" formatRows="0"/>
  <mergeCells count="30">
    <mergeCell ref="B32:N32"/>
    <mergeCell ref="B33:N33"/>
    <mergeCell ref="B35:N35"/>
    <mergeCell ref="G18:H18"/>
    <mergeCell ref="I18:N18"/>
    <mergeCell ref="B19:N19"/>
    <mergeCell ref="B21:N21"/>
    <mergeCell ref="B30:N30"/>
    <mergeCell ref="G15:H15"/>
    <mergeCell ref="I15:N15"/>
    <mergeCell ref="G16:H16"/>
    <mergeCell ref="I16:N16"/>
    <mergeCell ref="G17:H17"/>
    <mergeCell ref="I17:N17"/>
    <mergeCell ref="G12:H12"/>
    <mergeCell ref="I12:N12"/>
    <mergeCell ref="G13:H13"/>
    <mergeCell ref="I13:N13"/>
    <mergeCell ref="G14:H14"/>
    <mergeCell ref="I14:N14"/>
    <mergeCell ref="B7:N7"/>
    <mergeCell ref="B8:N8"/>
    <mergeCell ref="B10:N10"/>
    <mergeCell ref="G11:H11"/>
    <mergeCell ref="I11:N11"/>
    <mergeCell ref="A1:N1"/>
    <mergeCell ref="A2:F2"/>
    <mergeCell ref="G2:N2"/>
    <mergeCell ref="A3:N3"/>
    <mergeCell ref="B5:N5"/>
  </mergeCells>
  <pageMargins left="0.3" right="0.3" top="0.35" bottom="0.35"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0"/>
  <sheetViews>
    <sheetView showGridLines="0" zoomScaleNormal="100" workbookViewId="0"/>
  </sheetViews>
  <sheetFormatPr defaultColWidth="8.6328125" defaultRowHeight="14.5" x14ac:dyDescent="0.35"/>
  <cols>
    <col min="1" max="1" width="2.453125" customWidth="1"/>
    <col min="2" max="2" width="30" customWidth="1"/>
    <col min="3" max="3" width="84" customWidth="1"/>
    <col min="4" max="4" width="2.453125" customWidth="1"/>
  </cols>
  <sheetData>
    <row r="1" spans="1:4" ht="13.5" customHeight="1" x14ac:dyDescent="0.35">
      <c r="A1" s="14" t="s">
        <v>0</v>
      </c>
      <c r="B1" s="14"/>
      <c r="C1" s="14"/>
      <c r="D1" s="14"/>
    </row>
    <row r="2" spans="1:4" ht="25.5" customHeight="1" x14ac:dyDescent="0.35">
      <c r="A2" s="13" t="s">
        <v>371</v>
      </c>
      <c r="B2" s="13"/>
      <c r="C2" s="3" t="s">
        <v>67</v>
      </c>
      <c r="D2" s="3"/>
    </row>
    <row r="3" spans="1:4" ht="15.75" customHeight="1" x14ac:dyDescent="0.35">
      <c r="A3" s="12" t="s">
        <v>372</v>
      </c>
      <c r="B3" s="12"/>
      <c r="C3" s="12"/>
      <c r="D3" s="12"/>
    </row>
    <row r="4" spans="1:4" ht="7.5" customHeight="1" x14ac:dyDescent="0.35"/>
    <row r="5" spans="1:4" ht="24" customHeight="1" x14ac:dyDescent="0.35">
      <c r="B5" s="2" t="s">
        <v>373</v>
      </c>
      <c r="C5" s="2"/>
    </row>
    <row r="6" spans="1:4" ht="7.5" customHeight="1" x14ac:dyDescent="0.35"/>
    <row r="7" spans="1:4" ht="18.75" customHeight="1" x14ac:dyDescent="0.35">
      <c r="B7" s="1" t="s">
        <v>374</v>
      </c>
      <c r="C7" s="1"/>
    </row>
    <row r="8" spans="1:4" ht="16.5" customHeight="1" x14ac:dyDescent="0.35">
      <c r="B8" s="17" t="s">
        <v>375</v>
      </c>
      <c r="C8" s="17" t="s">
        <v>376</v>
      </c>
    </row>
    <row r="9" spans="1:4" ht="39.75" customHeight="1" x14ac:dyDescent="0.35">
      <c r="B9" s="91" t="s">
        <v>377</v>
      </c>
      <c r="C9" s="92" t="str">
        <f>IF(RepDone=0,"Provisional — month not marked complete.  ",IF(MoMProv=1,"Provisional — prior month not complete.  ",""))&amp;IF(CurGM="N/M","Revenue for the selected month is zero, so gross margin is undefined (N/M). The inputs are complete — was the month genuinely without revenue, and what does that mean for recovering overhead?",IF(NOT(ISNUMBER(CurGM)),"Gross margin cannot be read yet — "&amp;StGM&amp;". Complete that input group on the MONTHLY INPUTS tab before interpreting margin.",IF(OR(StGM="Below Target",AND(ISNUMBER(ChgGM),ChgGM&lt;0)),"Gross margin is "&amp;TEXT(CurGM,"0.0%")&amp;". What changed in job pricing, direct labour, subcontractor or material costs during the period?","Gross margin is "&amp;TEXT(CurGM,"0.0%")&amp;". Which jobs and which pricing decisions are holding it there, and are those conditions repeatable next period?")))</f>
        <v>Gross margin is 25.7%. Which jobs and which pricing decisions are holding it there, and are those conditions repeatable next period?</v>
      </c>
    </row>
    <row r="10" spans="1:4" ht="39.75" customHeight="1" x14ac:dyDescent="0.35">
      <c r="B10" s="93" t="s">
        <v>378</v>
      </c>
      <c r="C10" s="94" t="str">
        <f>IF(RepDone=0,"Provisional — month not marked complete.  ",IF(MoMProv=1,"Provisional — prior month not complete.  ",""))&amp;IF(JobPartial=1,"One or more job rows have some information entered but not all of it. Complete or clear those rows before comparing estimated and actual job margin.",IF(JobMarVar="N/M","The completed jobs entered have a total revised contract value of zero, so weighted job margin is undefined (N/M). The job information itself is complete — are those contract values entered correctly?",IF(JobMarVar="No Completed Jobs","Enter at least one completed job on the JOB PERFORMANCE tab to compare estimated and actual job margin.",IF(NOT(ISNUMBER(JobMarVar)),"Job margin cannot be read yet — "&amp;JobMarVar&amp;". Resolve that on the JOB PERFORMANCE tab.",IF(JobMarVar&lt;0,"Actual weighted job margin is "&amp;TEXT(-JobMarVar,"0.0")&amp;" percentage points below estimate. Which jobs contribute most to the variance, and which cost categories changed from estimate?","Actual weighted job margin is "&amp;TEXT(JobMarVar,"0.0")&amp;" percentage points against estimate. Which estimating assumptions proved accurate, and do they hold for the work now being quoted?")))))</f>
        <v>Actual weighted job margin is 0.5 percentage points against estimate. Which estimating assumptions proved accurate, and do they hold for the work now being quoted?</v>
      </c>
    </row>
    <row r="11" spans="1:4" ht="39.75" customHeight="1" x14ac:dyDescent="0.35">
      <c r="B11" s="91" t="s">
        <v>379</v>
      </c>
      <c r="C11" s="92" t="str">
        <f>IF(RepDone=0,"Provisional — month not marked complete.  ",IF(MoMProv=1,"Provisional — prior month not complete.  ",""))&amp;IF(CurARD="N/M","Revenue for the selected month is zero, so A/R days are undefined (N/M). The inputs are complete — what is outstanding on the receivable balance entered?",IF(NOT(ISNUMBER(CurARD)),"Collections cannot be read yet — "&amp;StARD&amp;". Complete that input group on the MONTHLY INPUTS tab.",IF(AND(ISNUMBER(ChgARD),ChgARD&gt;0),"Approximate A/R days moved from "&amp;TEXT(PriARD,"0.0")&amp;" to "&amp;TEXT(CurARD,"0.0")&amp;". Are specific invoices, customers or billing milestones driving slower collections?","Approximate A/R days are "&amp;TEXT(CurARD,"0.0")&amp;". Which billing and collection practices are keeping them there, and are they applied consistently across jobs?")))</f>
        <v>Approximate A/R days are 53.0. Which billing and collection practices are keeping them there, and are they applied consistently across jobs?</v>
      </c>
    </row>
    <row r="12" spans="1:4" ht="39.75" customHeight="1" x14ac:dyDescent="0.35">
      <c r="B12" s="93" t="s">
        <v>380</v>
      </c>
      <c r="C12" s="94" t="str">
        <f>IF(RepDone=0,"Provisional — month not marked complete.  ",IF(MoMProv=1,"Provisional — prior month not complete.  ",""))&amp;IF(NOT(ISNUMBER(CurBack)),"Enter backlog for the reporting month before interpreting it. Backlog left blank is treated as not entered, not as zero.",IF(AND(ISNUMBER(ChgBack),ISNUMBER(PriBack)),IF(PriBack=0,"Backlog is "&amp;TEXT(CurBack,"$#,##0")&amp;", against none in the prior month. Does that align with available labour, subcontractor capacity and expected project timing?",IF(ABS(ChgBack/PriBack)&gt;=0.1,"Backlog moved "&amp;TEXT(ChgBack/PriBack,"+0.0%;-0.0%")&amp;" to "&amp;TEXT(CurBack,"$#,##0")&amp;". Does that align with available labour, subcontractor capacity and expected project timing?","Backlog is "&amp;TEXT(CurBack,"$#,##0")&amp;". Does that align with available labour, subcontractor capacity and expected project timing over the coming months?")),"Backlog is "&amp;TEXT(CurBack,"$#,##0")&amp;". Does that align with available labour, subcontractor capacity and expected project timing over the coming months?"))</f>
        <v>Backlog moved +10.4% to $1,595,000. Does that align with available labour, subcontractor capacity and expected project timing?</v>
      </c>
    </row>
    <row r="13" spans="1:4" ht="39.75" customHeight="1" x14ac:dyDescent="0.35">
      <c r="B13" s="91" t="s">
        <v>381</v>
      </c>
      <c r="C13" s="92" t="str">
        <f>IF(RepDone=0,"Provisional — month not marked complete.  ",IF(MoMProv=1,"Provisional — prior month not complete.  ",""))&amp;IF(CurMat="N/M","Revenue for the selected month is zero, so cost shares are undefined (N/M). The inputs are complete.",IF(NOT(ISNUMBER(CurMat)),"Cost shares cannot be read yet — "&amp;StMat&amp;". Complete that input group on the MONTHLY INPUTS tab.",IF(AND(ISNUMBER(ChgMat),ChgMat&gt;0),"Materials were "&amp;TEXT(CurMat,"0.0%")&amp;" of revenue, up "&amp;TEXT(ChgMat,"0.0")&amp;" points. Were those cost increases reflected in estimates, pricing or approved change orders?",IF(AND(ISNUMBER(CurCO),ISNUMBER(CurRev)),IF(CurRev=0,"Materials were "&amp;TEXT(CurMat,"0.0%")&amp;" of revenue. Are current supplier prices reflected in the estimates being issued now?",IF(CurCO/CurRev&gt;=0.05,"Approved change orders were "&amp;TEXT(CurCO,"$#,##0")&amp;" in the period. Are they being billed and reflected in project forecasts promptly?","Materials were "&amp;TEXT(CurMat,"0.0%")&amp;" of revenue. Are current supplier prices reflected in the estimates being issued now?")),"Materials were "&amp;TEXT(CurMat,"0.0%")&amp;" of revenue. Are current supplier prices reflected in the estimates being issued now?"))))</f>
        <v>Approved change orders were $41,200 in the period. Are they being billed and reflected in project forecasts promptly?</v>
      </c>
    </row>
    <row r="14" spans="1:4" ht="7.5" customHeight="1" x14ac:dyDescent="0.35"/>
    <row r="15" spans="1:4" ht="33.75" customHeight="1" x14ac:dyDescent="0.35">
      <c r="B15" s="8" t="s">
        <v>382</v>
      </c>
      <c r="C15" s="8"/>
    </row>
    <row r="17" spans="2:3" ht="18.75" customHeight="1" x14ac:dyDescent="0.35">
      <c r="B17" s="1" t="s">
        <v>383</v>
      </c>
      <c r="C17" s="1"/>
    </row>
    <row r="18" spans="2:3" ht="39.75" customHeight="1" x14ac:dyDescent="0.35">
      <c r="B18" s="127" t="s">
        <v>384</v>
      </c>
      <c r="C18" s="127"/>
    </row>
    <row r="20" spans="2:3" ht="13.5" customHeight="1" x14ac:dyDescent="0.35">
      <c r="B20" s="100" t="s">
        <v>385</v>
      </c>
      <c r="C20" s="100"/>
    </row>
  </sheetData>
  <sheetProtection sheet="1" formatCells="0" formatColumns="0" formatRows="0"/>
  <mergeCells count="10">
    <mergeCell ref="B7:C7"/>
    <mergeCell ref="B15:C15"/>
    <mergeCell ref="B17:C17"/>
    <mergeCell ref="B18:C18"/>
    <mergeCell ref="B20:C20"/>
    <mergeCell ref="A1:D1"/>
    <mergeCell ref="A2:B2"/>
    <mergeCell ref="C2:D2"/>
    <mergeCell ref="A3:D3"/>
    <mergeCell ref="B5:C5"/>
  </mergeCells>
  <pageMargins left="0.3" right="0.3" top="0.35" bottom="0.35" header="0.511811023622047" footer="0.511811023622047"/>
  <pageSetup fitToHeight="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60"/>
  <sheetViews>
    <sheetView showGridLines="0" topLeftCell="A7" zoomScaleNormal="100" workbookViewId="0">
      <selection activeCell="Y35" sqref="Y35"/>
    </sheetView>
  </sheetViews>
  <sheetFormatPr defaultColWidth="8.6328125" defaultRowHeight="14.5" x14ac:dyDescent="0.35"/>
  <cols>
    <col min="1" max="1" width="2.453125" customWidth="1"/>
    <col min="2" max="21" width="6.6328125" customWidth="1"/>
    <col min="22" max="22" width="2.453125" customWidth="1"/>
  </cols>
  <sheetData>
    <row r="1" spans="1:24" ht="13.5" customHeight="1" x14ac:dyDescent="0.35">
      <c r="A1" s="14" t="s">
        <v>0</v>
      </c>
      <c r="B1" s="14"/>
      <c r="C1" s="14"/>
      <c r="D1" s="14"/>
      <c r="E1" s="14"/>
      <c r="F1" s="14"/>
      <c r="G1" s="14"/>
      <c r="H1" s="14"/>
      <c r="I1" s="14"/>
      <c r="J1" s="14"/>
      <c r="K1" s="14"/>
      <c r="L1" s="14"/>
      <c r="M1" s="14"/>
      <c r="N1" s="14"/>
      <c r="O1" s="14"/>
      <c r="P1" s="14"/>
      <c r="Q1" s="14"/>
      <c r="R1" s="14"/>
      <c r="S1" s="14"/>
      <c r="T1" s="14"/>
      <c r="U1" s="14"/>
      <c r="V1" s="14"/>
    </row>
    <row r="2" spans="1:24" ht="25.5" customHeight="1" x14ac:dyDescent="0.35">
      <c r="A2" s="13" t="s">
        <v>386</v>
      </c>
      <c r="B2" s="13"/>
      <c r="C2" s="13"/>
      <c r="D2" s="13"/>
      <c r="E2" s="13"/>
      <c r="F2" s="13"/>
      <c r="G2" s="13"/>
      <c r="H2" s="13"/>
      <c r="I2" s="13"/>
      <c r="J2" s="13"/>
      <c r="K2" s="13"/>
      <c r="L2" s="13"/>
      <c r="M2" s="3" t="s">
        <v>67</v>
      </c>
      <c r="N2" s="3"/>
      <c r="O2" s="3"/>
      <c r="P2" s="3"/>
      <c r="Q2" s="3"/>
      <c r="R2" s="3"/>
      <c r="S2" s="3"/>
      <c r="T2" s="3"/>
      <c r="U2" s="3"/>
      <c r="V2" s="3"/>
    </row>
    <row r="3" spans="1:24" ht="15.75" customHeight="1" x14ac:dyDescent="0.35">
      <c r="A3" s="12" t="str">
        <f>IF(RepOK=0,"Select a reporting month from 1 to 12 on the MONTHLY INPUTS tab.",IF(RepDone=0,"PROVISIONAL — the reporting month is not marked complete on the MONTHLY INPUTS tab, so nothing on this page is a final assessment.",IF(MoMProv=1,"PROVISIONAL COMPARISONS — the prior month is not marked complete, so month-over-month movements on this page are not finalised.","Revenue, margin, cash and job performance for the reporting month  —  all figures calculated from your own inputs.")))</f>
        <v>Revenue, margin, cash and job performance for the reporting month  —  all figures calculated from your own inputs.</v>
      </c>
      <c r="B3" s="12"/>
      <c r="C3" s="12"/>
      <c r="D3" s="12"/>
      <c r="E3" s="12"/>
      <c r="F3" s="12"/>
      <c r="G3" s="12"/>
      <c r="H3" s="12"/>
      <c r="I3" s="12"/>
      <c r="J3" s="12"/>
      <c r="K3" s="12"/>
      <c r="L3" s="12"/>
      <c r="M3" s="12"/>
      <c r="N3" s="12"/>
      <c r="O3" s="12"/>
      <c r="P3" s="12"/>
      <c r="Q3" s="12"/>
      <c r="R3" s="12"/>
      <c r="S3" s="12"/>
      <c r="T3" s="12"/>
      <c r="U3" s="12"/>
      <c r="V3" s="12"/>
    </row>
    <row r="4" spans="1:24" ht="7.5" customHeight="1" x14ac:dyDescent="0.35"/>
    <row r="5" spans="1:24" ht="6" customHeight="1" x14ac:dyDescent="0.35">
      <c r="W5" s="38" t="s">
        <v>387</v>
      </c>
    </row>
    <row r="6" spans="1:24" ht="15" customHeight="1" x14ac:dyDescent="0.35">
      <c r="B6" s="128" t="s">
        <v>388</v>
      </c>
      <c r="C6" s="128"/>
      <c r="D6" s="128"/>
      <c r="E6" s="128"/>
      <c r="F6" s="128"/>
      <c r="G6" s="128" t="s">
        <v>389</v>
      </c>
      <c r="H6" s="128"/>
      <c r="I6" s="128"/>
      <c r="J6" s="128"/>
      <c r="K6" s="128"/>
      <c r="L6" s="128" t="s">
        <v>390</v>
      </c>
      <c r="M6" s="128"/>
      <c r="N6" s="128"/>
      <c r="O6" s="128"/>
      <c r="P6" s="128"/>
      <c r="Q6" s="128" t="s">
        <v>391</v>
      </c>
      <c r="R6" s="128"/>
      <c r="S6" s="128"/>
      <c r="T6" s="128"/>
      <c r="U6" s="128"/>
      <c r="W6" s="38" t="s">
        <v>100</v>
      </c>
      <c r="X6" s="95">
        <f>IF(RepOK=0,"",IF(INDEX(DirOK,RepIdx)=0,"",INDEX(MLab,RepIdx)))</f>
        <v>119700</v>
      </c>
    </row>
    <row r="7" spans="1:24" ht="25.5" customHeight="1" x14ac:dyDescent="0.35">
      <c r="B7" s="129">
        <f>CurRev</f>
        <v>518100</v>
      </c>
      <c r="C7" s="129"/>
      <c r="D7" s="129"/>
      <c r="E7" s="129"/>
      <c r="F7" s="129"/>
      <c r="G7" s="130">
        <f>CurGM</f>
        <v>0.25709322524609146</v>
      </c>
      <c r="H7" s="130"/>
      <c r="I7" s="130"/>
      <c r="J7" s="130"/>
      <c r="K7" s="130"/>
      <c r="L7" s="129">
        <f>CurOP</f>
        <v>21820</v>
      </c>
      <c r="M7" s="129"/>
      <c r="N7" s="129"/>
      <c r="O7" s="129"/>
      <c r="P7" s="129"/>
      <c r="Q7" s="130">
        <f>CurOM</f>
        <v>4.211542173325613E-2</v>
      </c>
      <c r="R7" s="130"/>
      <c r="S7" s="130"/>
      <c r="T7" s="130"/>
      <c r="U7" s="130"/>
      <c r="W7" s="38" t="s">
        <v>101</v>
      </c>
      <c r="X7" s="95">
        <f>IF(RepOK=0,"",IF(INDEX(DirOK,RepIdx)=0,"",INDEX(MSub,RepIdx)))</f>
        <v>135100</v>
      </c>
    </row>
    <row r="8" spans="1:24" ht="13.5" customHeight="1" x14ac:dyDescent="0.35">
      <c r="B8" s="131" t="str">
        <f>IF(RepOK=0,"set a reporting month","reporting month "&amp;INDEX(MLbl,RepIdx))</f>
        <v>reporting month Dec 2025</v>
      </c>
      <c r="C8" s="131"/>
      <c r="D8" s="131"/>
      <c r="E8" s="131"/>
      <c r="F8" s="131"/>
      <c r="G8" s="131" t="str">
        <f>IF(ISNUMBER(TgtGM),"your target "&amp;TEXT(TgtGM,"0.0%"),"no target set")</f>
        <v>your target 24.0%</v>
      </c>
      <c r="H8" s="131"/>
      <c r="I8" s="131"/>
      <c r="J8" s="131"/>
      <c r="K8" s="131"/>
      <c r="L8" s="131" t="str">
        <f>"after the overhead entered"</f>
        <v>after the overhead entered</v>
      </c>
      <c r="M8" s="131"/>
      <c r="N8" s="131"/>
      <c r="O8" s="131"/>
      <c r="P8" s="131"/>
      <c r="Q8" s="131" t="str">
        <f>IF(ISNUMBER(TgtOM),"your target "&amp;TEXT(TgtOM,"0.0%"),"no target set")</f>
        <v>your target 6.0%</v>
      </c>
      <c r="R8" s="131"/>
      <c r="S8" s="131"/>
      <c r="T8" s="131"/>
      <c r="U8" s="131"/>
      <c r="W8" s="38" t="s">
        <v>102</v>
      </c>
      <c r="X8" s="95">
        <f>IF(RepOK=0,"",IF(INDEX(DirOK,RepIdx)=0,"",INDEX(MMat,RepIdx)))</f>
        <v>104700</v>
      </c>
    </row>
    <row r="9" spans="1:24" ht="6.75" customHeight="1" x14ac:dyDescent="0.35">
      <c r="W9" s="38" t="s">
        <v>392</v>
      </c>
      <c r="X9" s="95">
        <f>IF(RepOK=0,"",IF(INDEX(DirOK,RepIdx)=0,"",INDEX(MEqp,RepIdx)+INDEX(MPmt,RepIdx)+INDEX(MOdc,RepIdx)))</f>
        <v>25400</v>
      </c>
    </row>
    <row r="10" spans="1:24" ht="15" customHeight="1" x14ac:dyDescent="0.35">
      <c r="B10" s="128" t="s">
        <v>393</v>
      </c>
      <c r="C10" s="128"/>
      <c r="D10" s="128"/>
      <c r="E10" s="128"/>
      <c r="F10" s="128"/>
      <c r="G10" s="128" t="s">
        <v>394</v>
      </c>
      <c r="H10" s="128"/>
      <c r="I10" s="128"/>
      <c r="J10" s="128"/>
      <c r="K10" s="128"/>
      <c r="L10" s="128" t="s">
        <v>395</v>
      </c>
      <c r="M10" s="128"/>
      <c r="N10" s="128"/>
      <c r="O10" s="128"/>
      <c r="P10" s="128"/>
      <c r="Q10" s="128" t="s">
        <v>396</v>
      </c>
      <c r="R10" s="128"/>
      <c r="S10" s="128"/>
      <c r="T10" s="128"/>
      <c r="U10" s="128"/>
    </row>
    <row r="11" spans="1:24" ht="25.5" customHeight="1" x14ac:dyDescent="0.35">
      <c r="B11" s="129">
        <f>CurCash</f>
        <v>487000</v>
      </c>
      <c r="C11" s="129"/>
      <c r="D11" s="129"/>
      <c r="E11" s="129"/>
      <c r="F11" s="129"/>
      <c r="G11" s="132">
        <f>CurARD</f>
        <v>52.984365952518814</v>
      </c>
      <c r="H11" s="132"/>
      <c r="I11" s="132"/>
      <c r="J11" s="132"/>
      <c r="K11" s="132"/>
      <c r="L11" s="129">
        <f>CurBack</f>
        <v>1595000</v>
      </c>
      <c r="M11" s="129"/>
      <c r="N11" s="129"/>
      <c r="O11" s="129"/>
      <c r="P11" s="129"/>
      <c r="Q11" s="133">
        <f>JobMarVar</f>
        <v>0.46002862400327249</v>
      </c>
      <c r="R11" s="133"/>
      <c r="S11" s="133"/>
      <c r="T11" s="133"/>
      <c r="U11" s="133"/>
    </row>
    <row r="12" spans="1:24" ht="13.5" customHeight="1" x14ac:dyDescent="0.35">
      <c r="B12" s="131" t="str">
        <f>IF(ISNUMBER(TgtCash),"your minimum "&amp;TEXT(TgtCash,"$#,##0"),"no minimum set")</f>
        <v>your minimum $350,000</v>
      </c>
      <c r="C12" s="131"/>
      <c r="D12" s="131"/>
      <c r="E12" s="131"/>
      <c r="F12" s="131"/>
      <c r="G12" s="131" t="str">
        <f>IF(ISNUMBER(TgtARD),"your target "&amp;TEXT(TgtARD,"#,##0.0")&amp;" days","no target set")</f>
        <v>your target 55.0 days</v>
      </c>
      <c r="H12" s="131"/>
      <c r="I12" s="131"/>
      <c r="J12" s="131"/>
      <c r="K12" s="131"/>
      <c r="L12" s="131" t="str">
        <f>"contracted work not yet revenue"</f>
        <v>contracted work not yet revenue</v>
      </c>
      <c r="M12" s="131"/>
      <c r="N12" s="131"/>
      <c r="O12" s="131"/>
      <c r="P12" s="131"/>
      <c r="Q12" s="131" t="str">
        <f>"completed jobs, actual less estimate"</f>
        <v>completed jobs, actual less estimate</v>
      </c>
      <c r="R12" s="131"/>
      <c r="S12" s="131"/>
      <c r="T12" s="131"/>
      <c r="U12" s="131"/>
    </row>
    <row r="13" spans="1:24" ht="9.75" customHeight="1" x14ac:dyDescent="0.35"/>
    <row r="14" spans="1:24" ht="18" customHeight="1" x14ac:dyDescent="0.35">
      <c r="B14" s="134" t="str">
        <f>IF(ProvCh1=0,"1.   Revenue and Gross Profit by Month","1.   Revenue and Gross Profit   Includes provisional month(s)")</f>
        <v>1.   Revenue and Gross Profit by Month</v>
      </c>
      <c r="C14" s="134"/>
      <c r="D14" s="134"/>
      <c r="E14" s="134"/>
      <c r="F14" s="134"/>
      <c r="G14" s="134"/>
      <c r="H14" s="134"/>
      <c r="I14" s="134"/>
      <c r="J14" s="134"/>
      <c r="K14" s="134"/>
      <c r="L14" s="134" t="str">
        <f>IF(ProvCh2=0,"2.   Gross Margin and Operating Margin by Month","2.   Margin Trend   Includes provisional month(s)")</f>
        <v>2.   Gross Margin and Operating Margin by Month</v>
      </c>
      <c r="M14" s="134"/>
      <c r="N14" s="134"/>
      <c r="O14" s="134"/>
      <c r="P14" s="134"/>
      <c r="Q14" s="134"/>
      <c r="R14" s="134"/>
      <c r="S14" s="134"/>
      <c r="T14" s="134"/>
      <c r="U14" s="134"/>
    </row>
    <row r="15" spans="1:24" ht="15" customHeight="1" x14ac:dyDescent="0.35"/>
    <row r="16" spans="1:24" ht="15" customHeight="1" x14ac:dyDescent="0.35"/>
    <row r="17" spans="2:21" ht="15" customHeight="1" x14ac:dyDescent="0.35"/>
    <row r="18" spans="2:21" ht="15" customHeight="1" x14ac:dyDescent="0.35"/>
    <row r="19" spans="2:21" ht="15" customHeight="1" x14ac:dyDescent="0.35"/>
    <row r="20" spans="2:21" ht="15" customHeight="1" x14ac:dyDescent="0.35"/>
    <row r="21" spans="2:21" ht="15" customHeight="1" x14ac:dyDescent="0.35"/>
    <row r="22" spans="2:21" ht="15" customHeight="1" x14ac:dyDescent="0.35"/>
    <row r="23" spans="2:21" ht="15" customHeight="1" x14ac:dyDescent="0.35"/>
    <row r="24" spans="2:21" ht="15" customHeight="1" x14ac:dyDescent="0.35"/>
    <row r="25" spans="2:21" ht="15" customHeight="1" x14ac:dyDescent="0.35"/>
    <row r="26" spans="2:21" ht="15" customHeight="1" x14ac:dyDescent="0.35"/>
    <row r="27" spans="2:21" ht="15" customHeight="1" x14ac:dyDescent="0.35"/>
    <row r="28" spans="2:21" ht="15" customHeight="1" x14ac:dyDescent="0.35"/>
    <row r="29" spans="2:21" ht="15" customHeight="1" x14ac:dyDescent="0.35"/>
    <row r="30" spans="2:21" ht="15" customHeight="1" x14ac:dyDescent="0.35"/>
    <row r="31" spans="2:21" ht="12" customHeight="1" x14ac:dyDescent="0.35"/>
    <row r="32" spans="2:21" ht="18" customHeight="1" x14ac:dyDescent="0.35">
      <c r="B32" s="134" t="s">
        <v>397</v>
      </c>
      <c r="C32" s="134"/>
      <c r="D32" s="134"/>
      <c r="E32" s="134"/>
      <c r="F32" s="134"/>
      <c r="G32" s="134"/>
      <c r="H32" s="134"/>
      <c r="I32" s="134"/>
      <c r="J32" s="134"/>
      <c r="K32" s="134"/>
      <c r="L32" s="134" t="str">
        <f>"4.   Estimated vs Actual Job Margin — Completed Jobs"&amp;IF('JOB PERFORMANCE'!$T$9=1,"      Withheld — a job row is incomplete.",IF(JobWAct="N/M","      Withheld — total contract value is zero.",""))</f>
        <v>4.   Estimated vs Actual Job Margin — Completed Jobs</v>
      </c>
      <c r="M32" s="134"/>
      <c r="N32" s="134"/>
      <c r="O32" s="134"/>
      <c r="P32" s="134"/>
      <c r="Q32" s="134"/>
      <c r="R32" s="134"/>
      <c r="S32" s="134"/>
      <c r="T32" s="134"/>
      <c r="U32" s="134"/>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6" customHeight="1" x14ac:dyDescent="0.35"/>
    <row r="49" spans="1:22" ht="6" customHeight="1" x14ac:dyDescent="0.35"/>
    <row r="50" spans="1:22" ht="18.75" customHeight="1" x14ac:dyDescent="0.35">
      <c r="B50" s="135" t="s">
        <v>398</v>
      </c>
      <c r="C50" s="135"/>
      <c r="D50" s="135"/>
      <c r="E50" s="135"/>
      <c r="F50" s="135"/>
      <c r="G50" s="135"/>
      <c r="H50" s="135"/>
      <c r="I50" s="135"/>
      <c r="J50" s="135"/>
      <c r="K50" s="135"/>
      <c r="L50" s="135"/>
      <c r="M50" s="135"/>
      <c r="N50" s="135"/>
      <c r="O50" s="135"/>
      <c r="P50" s="135"/>
      <c r="Q50" s="135"/>
      <c r="R50" s="135"/>
      <c r="S50" s="135"/>
      <c r="T50" s="135"/>
      <c r="U50" s="135"/>
    </row>
    <row r="51" spans="1:22" ht="27" customHeight="1" x14ac:dyDescent="0.35">
      <c r="B51" s="96" t="s">
        <v>399</v>
      </c>
      <c r="C51" s="136" t="str">
        <f>IF(RepDone=0,"Provisional — month not marked complete.  ",IF(MoMProv=1,"Provisional — prior month not complete.  ",""))&amp;IF(CurGM="N/M","Revenue for the reporting month is zero, so gross margin is undefined (N/M). The inputs are complete.",IF(NOT(ISNUMBER(CurGM)),"Gross margin cannot be read yet — "&amp;StGM&amp;". Complete that input group on the MONTHLY INPUTS tab.","Gross margin is "&amp;TEXT(CurGM,"0.0%")&amp;IF(ISNUMBER(TgtGM),", "&amp;IF(CurGM&gt;=TgtGM,"at or above","below")&amp;" your entered target of "&amp;TEXT(TgtGM,"0.0%"),", and no target has been entered")&amp;IF(ISNUMBER(ChgGM),", and "&amp;TEXT(ABS(ChgGM),"0.0")&amp;" percentage points "&amp;IF(ChgGM&gt;=0,"above","below")&amp;" the prior month.",".")))</f>
        <v>Gross margin is 25.7%, at or above your entered target of 24.0%, and 0.8 percentage points above the prior month.</v>
      </c>
      <c r="D51" s="136"/>
      <c r="E51" s="136"/>
      <c r="F51" s="136"/>
      <c r="G51" s="136"/>
      <c r="H51" s="136"/>
      <c r="I51" s="136"/>
      <c r="J51" s="136"/>
      <c r="K51" s="136"/>
      <c r="L51" s="136"/>
      <c r="M51" s="136"/>
      <c r="N51" s="136"/>
      <c r="O51" s="136"/>
      <c r="P51" s="136"/>
      <c r="Q51" s="136"/>
      <c r="R51" s="136"/>
      <c r="S51" s="136"/>
      <c r="T51" s="136"/>
      <c r="U51" s="136"/>
    </row>
    <row r="52" spans="1:22" ht="27" customHeight="1" x14ac:dyDescent="0.35">
      <c r="B52" s="97" t="s">
        <v>399</v>
      </c>
      <c r="C52" s="137" t="str">
        <f>IF(RepDone=0,"Provisional — month not marked complete.  ",IF(MoMProv=1,"Provisional — prior month not complete.  ",""))&amp;IF(NOT(ISNUMBER(CurOP)),"Operating profit cannot be read yet — "&amp;StOP&amp;". Complete that input group on the MONTHLY INPUTS tab.","Operating profit is "&amp;TEXT(CurOP,"$#,##0;-$#,##0")&amp;" on revenue of "&amp;TEXT(CurRev,"$#,##0")&amp;IF(ISNUMBER(CurOM),", an operating margin of "&amp;TEXT(CurOM,"0.0%"),"")&amp;". Owner draws are not deducted from this figure.")</f>
        <v>Operating profit is $21,820 on revenue of $518,100, an operating margin of 4.2%. Owner draws are not deducted from this figure.</v>
      </c>
      <c r="D52" s="137"/>
      <c r="E52" s="137"/>
      <c r="F52" s="137"/>
      <c r="G52" s="137"/>
      <c r="H52" s="137"/>
      <c r="I52" s="137"/>
      <c r="J52" s="137"/>
      <c r="K52" s="137"/>
      <c r="L52" s="137"/>
      <c r="M52" s="137"/>
      <c r="N52" s="137"/>
      <c r="O52" s="137"/>
      <c r="P52" s="137"/>
      <c r="Q52" s="137"/>
      <c r="R52" s="137"/>
      <c r="S52" s="137"/>
      <c r="T52" s="137"/>
      <c r="U52" s="137"/>
    </row>
    <row r="53" spans="1:22" ht="27" customHeight="1" x14ac:dyDescent="0.35">
      <c r="B53" s="96" t="s">
        <v>399</v>
      </c>
      <c r="C53" s="136" t="str">
        <f>IF(RepDone=0,"Provisional — month not marked complete.  ",IF(MoMProv=1,"Provisional — prior month not complete.  ",""))&amp;IF(JobPartial=1,"One or more job rows on the JOB PERFORMANCE tab are incomplete, so the job margin comparison and the chart above are withheld until those rows are completed or cleared.",IF(JobMarVar="N/M","The completed jobs entered have a total revised contract value of zero, so weighted job margin cannot be calculated (N/M). The job information itself is complete.",IF(JobMarVar="No Completed Jobs","No completed job has been entered on the JOB PERFORMANCE tab, so estimated and actual job margin cannot be compared.",IF(NOT(ISNUMBER(JobMarVar)),"Job margin cannot be read — "&amp;JobMarVar&amp;".","Across the completed jobs entered, actual weighted job margin is "&amp;TEXT(ABS(JobMarVar),"0.0")&amp;" percentage points "&amp;IF(JobMarVar&gt;=0,"above","below")&amp;" the estimated weighted margin of "&amp;TEXT(JobWEst,"0.0%")&amp;"."))))</f>
        <v>Across the completed jobs entered, actual weighted job margin is 0.5 percentage points above the estimated weighted margin of 23.1%.</v>
      </c>
      <c r="D53" s="136"/>
      <c r="E53" s="136"/>
      <c r="F53" s="136"/>
      <c r="G53" s="136"/>
      <c r="H53" s="136"/>
      <c r="I53" s="136"/>
      <c r="J53" s="136"/>
      <c r="K53" s="136"/>
      <c r="L53" s="136"/>
      <c r="M53" s="136"/>
      <c r="N53" s="136"/>
      <c r="O53" s="136"/>
      <c r="P53" s="136"/>
      <c r="Q53" s="136"/>
      <c r="R53" s="136"/>
      <c r="S53" s="136"/>
      <c r="T53" s="136"/>
      <c r="U53" s="136"/>
    </row>
    <row r="54" spans="1:22" ht="27" customHeight="1" x14ac:dyDescent="0.35">
      <c r="B54" s="97" t="s">
        <v>399</v>
      </c>
      <c r="C54" s="137" t="str">
        <f>IF(RepDone=0,"Provisional — month not marked complete.  ",IF(MoMProv=1,"Provisional — prior month not complete.  ",""))&amp;IF(CurMat="N/M","Revenue for the reporting month is zero, so the cost shares are undefined (N/M). The inputs are complete.",IF(NOT(ISNUMBER(CurMat)),"Cost shares cannot be read yet — "&amp;StMat&amp;". Complete that input group on the MONTHLY INPUTS tab.","Of revenue in the reporting month, direct labour was "&amp;TEXT(CurLab,"0.0%")&amp;", subcontractors "&amp;TEXT(CurSub,"0.0%")&amp;" and materials "&amp;TEXT(CurMat,"0.0%")&amp;". "&amp;"How work is split between self-performed and subcontracted labour moves these shares."))</f>
        <v>Of revenue in the reporting month, direct labour was 23.1%, subcontractors 26.1% and materials 20.2%. How work is split between self-performed and subcontracted labour moves these shares.</v>
      </c>
      <c r="D54" s="137"/>
      <c r="E54" s="137"/>
      <c r="F54" s="137"/>
      <c r="G54" s="137"/>
      <c r="H54" s="137"/>
      <c r="I54" s="137"/>
      <c r="J54" s="137"/>
      <c r="K54" s="137"/>
      <c r="L54" s="137"/>
      <c r="M54" s="137"/>
      <c r="N54" s="137"/>
      <c r="O54" s="137"/>
      <c r="P54" s="137"/>
      <c r="Q54" s="137"/>
      <c r="R54" s="137"/>
      <c r="S54" s="137"/>
      <c r="T54" s="137"/>
      <c r="U54" s="137"/>
    </row>
    <row r="55" spans="1:22" ht="27" customHeight="1" x14ac:dyDescent="0.35">
      <c r="B55" s="96" t="s">
        <v>399</v>
      </c>
      <c r="C55" s="136" t="str">
        <f>IF(RepDone=0,"Provisional — month not marked complete.  ",IF(MoMProv=1,"Provisional — prior month not complete.  ",""))&amp;IF(CurARD="N/M","Revenue for the reporting month is zero, so A/R days are undefined (N/M). The inputs are complete.",IF(NOT(ISNUMBER(CurARD)),"Collections cannot be read yet — "&amp;StARD&amp;". Complete that input group on the MONTHLY INPUTS tab.","Approximate A/R days are "&amp;TEXT(CurARD,"0.0")&amp;IF(ISNUMBER(ChgARD),", "&amp;TEXT(ABS(ChgARD),"0.0")&amp;" days "&amp;IF(ChgARD&gt;0,"higher than","lower than")&amp;" the prior month","")&amp;IF(AND(ISNUMBER(CurCash),ISNUMBER(TgtCash)),". Cash of "&amp;TEXT(CurCash,"$#,##0")&amp;" is "&amp;IF(CurCash&gt;=TgtCash,"above","below")&amp;" the minimum you entered.",". ")))</f>
        <v>Approximate A/R days are 53.0, 2.0 days lower than the prior month. Cash of $487,000 is above the minimum you entered.</v>
      </c>
      <c r="D55" s="136"/>
      <c r="E55" s="136"/>
      <c r="F55" s="136"/>
      <c r="G55" s="136"/>
      <c r="H55" s="136"/>
      <c r="I55" s="136"/>
      <c r="J55" s="136"/>
      <c r="K55" s="136"/>
      <c r="L55" s="136"/>
      <c r="M55" s="136"/>
      <c r="N55" s="136"/>
      <c r="O55" s="136"/>
      <c r="P55" s="136"/>
      <c r="Q55" s="136"/>
      <c r="R55" s="136"/>
      <c r="S55" s="136"/>
      <c r="T55" s="136"/>
      <c r="U55" s="136"/>
    </row>
    <row r="56" spans="1:22" ht="24" customHeight="1" x14ac:dyDescent="0.35">
      <c r="B56" s="126" t="str">
        <f>IF(RepOK=0,"Select a reporting month from 1 to 12 on the MONTHLY INPUTS tab.",IF(RepDone=0,"PROVISIONAL — MONTH NOT MARKED COMPLETE      ","")&amp;"Revenue "&amp;IF(ISNUMBER(CurRev),TEXT(CurRev,"$#,##0"),"Incomplete")&amp;"   |   Gross margin "&amp;IF(ISNUMBER(CurGM),TEXT(CurGM,"0.0%"),CurGM)&amp;"   |   Operating margin "&amp;IF(ISNUMBER(CurOM),TEXT(CurOM,"0.0%"),CurOM)&amp;"   |   Cash "&amp;IF(ISNUMBER(CurCash),TEXT(CurCash,"$#,##0"),CurCash)&amp;"   |   A/R days "&amp;IF(ISNUMBER(CurARD),TEXT(CurARD,"0.0"),CurARD)&amp;".")</f>
        <v>Revenue $518,100   |   Gross margin 25.7%   |   Operating margin 4.2%   |   Cash $487,000   |   A/R days 53.0.</v>
      </c>
      <c r="C56" s="126"/>
      <c r="D56" s="126"/>
      <c r="E56" s="126"/>
      <c r="F56" s="126"/>
      <c r="G56" s="126"/>
      <c r="H56" s="126"/>
      <c r="I56" s="126"/>
      <c r="J56" s="126"/>
      <c r="K56" s="126"/>
      <c r="L56" s="126"/>
      <c r="M56" s="126"/>
      <c r="N56" s="126"/>
      <c r="O56" s="126"/>
      <c r="P56" s="126"/>
      <c r="Q56" s="126"/>
      <c r="R56" s="126"/>
      <c r="S56" s="126"/>
      <c r="T56" s="126"/>
      <c r="U56" s="126"/>
    </row>
    <row r="57" spans="1:22" ht="6" customHeight="1" x14ac:dyDescent="0.35"/>
    <row r="58" spans="1:22" ht="39.75" customHeight="1" x14ac:dyDescent="0.35">
      <c r="B58" s="138" t="s">
        <v>400</v>
      </c>
      <c r="C58" s="138"/>
      <c r="D58" s="138"/>
      <c r="E58" s="138"/>
      <c r="F58" s="138"/>
      <c r="G58" s="138"/>
      <c r="H58" s="138"/>
      <c r="I58" s="138"/>
      <c r="J58" s="138"/>
      <c r="K58" s="138"/>
      <c r="L58" s="138"/>
      <c r="M58" s="138"/>
      <c r="N58" s="138"/>
      <c r="O58" s="138"/>
      <c r="P58" s="138"/>
      <c r="Q58" s="138"/>
      <c r="R58" s="138"/>
      <c r="S58" s="138"/>
      <c r="T58" s="138"/>
      <c r="U58" s="138"/>
    </row>
    <row r="59" spans="1:22" ht="6" customHeight="1" x14ac:dyDescent="0.35"/>
    <row r="60" spans="1:22" ht="21.75" customHeight="1" x14ac:dyDescent="0.35">
      <c r="A60" s="139" t="s">
        <v>401</v>
      </c>
      <c r="B60" s="139"/>
      <c r="C60" s="139"/>
      <c r="D60" s="139"/>
      <c r="E60" s="139"/>
      <c r="F60" s="139"/>
      <c r="G60" s="139"/>
      <c r="H60" s="139"/>
      <c r="I60" s="139"/>
      <c r="J60" s="139"/>
      <c r="K60" s="139"/>
      <c r="L60" s="139"/>
      <c r="M60" s="139"/>
      <c r="N60" s="139"/>
      <c r="O60" s="139"/>
      <c r="P60" s="139"/>
      <c r="Q60" s="139"/>
      <c r="R60" s="139"/>
      <c r="S60" s="139"/>
      <c r="T60" s="139"/>
      <c r="U60" s="139"/>
      <c r="V60" s="139"/>
    </row>
  </sheetData>
  <sheetProtection sheet="1" formatCells="0" formatColumns="0" formatRows="0"/>
  <mergeCells count="41">
    <mergeCell ref="A60:V60"/>
    <mergeCell ref="C53:U53"/>
    <mergeCell ref="C54:U54"/>
    <mergeCell ref="C55:U55"/>
    <mergeCell ref="B56:U56"/>
    <mergeCell ref="B58:U58"/>
    <mergeCell ref="B32:K32"/>
    <mergeCell ref="L32:U32"/>
    <mergeCell ref="B50:U50"/>
    <mergeCell ref="C51:U51"/>
    <mergeCell ref="C52:U52"/>
    <mergeCell ref="B12:F12"/>
    <mergeCell ref="G12:K12"/>
    <mergeCell ref="L12:P12"/>
    <mergeCell ref="Q12:U12"/>
    <mergeCell ref="B14:K14"/>
    <mergeCell ref="L14:U14"/>
    <mergeCell ref="B10:F10"/>
    <mergeCell ref="G10:K10"/>
    <mergeCell ref="L10:P10"/>
    <mergeCell ref="Q10:U10"/>
    <mergeCell ref="B11:F11"/>
    <mergeCell ref="G11:K11"/>
    <mergeCell ref="L11:P11"/>
    <mergeCell ref="Q11:U11"/>
    <mergeCell ref="B7:F7"/>
    <mergeCell ref="G7:K7"/>
    <mergeCell ref="L7:P7"/>
    <mergeCell ref="Q7:U7"/>
    <mergeCell ref="B8:F8"/>
    <mergeCell ref="G8:K8"/>
    <mergeCell ref="L8:P8"/>
    <mergeCell ref="Q8:U8"/>
    <mergeCell ref="A1:V1"/>
    <mergeCell ref="A2:L2"/>
    <mergeCell ref="M2:V2"/>
    <mergeCell ref="A3:V3"/>
    <mergeCell ref="B6:F6"/>
    <mergeCell ref="G6:K6"/>
    <mergeCell ref="L6:P6"/>
    <mergeCell ref="Q6:U6"/>
  </mergeCells>
  <pageMargins left="0.3" right="0.3" top="0.35" bottom="0.35" header="0.511811023622047" footer="0.511811023622047"/>
  <pageSetup fitToHeight="0" orientation="landscape" horizontalDpi="300" verticalDpi="300"/>
  <rowBreaks count="1" manualBreakCount="1">
    <brk id="31" max="16383" man="1"/>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122</vt:i4>
      </vt:variant>
    </vt:vector>
  </HeadingPairs>
  <TitlesOfParts>
    <vt:vector size="130" baseType="lpstr">
      <vt:lpstr>START HERE</vt:lpstr>
      <vt:lpstr>MONTHLY INPUTS</vt:lpstr>
      <vt:lpstr>JOB PERFORMANCE</vt:lpstr>
      <vt:lpstr>KPI ANALYSIS</vt:lpstr>
      <vt:lpstr>KPI TARGETS</vt:lpstr>
      <vt:lpstr>WORKING CAPITAL</vt:lpstr>
      <vt:lpstr>ACTION PLAN</vt:lpstr>
      <vt:lpstr>EXECUTIVE DASHBOARD</vt:lpstr>
      <vt:lpstr>ChgARD</vt:lpstr>
      <vt:lpstr>ChgBack</vt:lpstr>
      <vt:lpstr>ChgCash</vt:lpstr>
      <vt:lpstr>ChgGM</vt:lpstr>
      <vt:lpstr>ChgMat</vt:lpstr>
      <vt:lpstr>CurAR</vt:lpstr>
      <vt:lpstr>CurARD</vt:lpstr>
      <vt:lpstr>CurBack</vt:lpstr>
      <vt:lpstr>CurCash</vt:lpstr>
      <vt:lpstr>CurCO</vt:lpstr>
      <vt:lpstr>CurCov</vt:lpstr>
      <vt:lpstr>CurCR</vt:lpstr>
      <vt:lpstr>CurDC</vt:lpstr>
      <vt:lpstr>CurGM</vt:lpstr>
      <vt:lpstr>CurGP</vt:lpstr>
      <vt:lpstr>CurGrw</vt:lpstr>
      <vt:lpstr>CurJobC</vt:lpstr>
      <vt:lpstr>CurJobP</vt:lpstr>
      <vt:lpstr>CurLab</vt:lpstr>
      <vt:lpstr>CurMat</vt:lpstr>
      <vt:lpstr>CurOH</vt:lpstr>
      <vt:lpstr>CurOM</vt:lpstr>
      <vt:lpstr>CurOP</vt:lpstr>
      <vt:lpstr>CurQC</vt:lpstr>
      <vt:lpstr>CurRev</vt:lpstr>
      <vt:lpstr>CurSub</vt:lpstr>
      <vt:lpstr>DirOK</vt:lpstr>
      <vt:lpstr>GrsOK</vt:lpstr>
      <vt:lpstr>JobContract</vt:lpstr>
      <vt:lpstr>JobCostVar</vt:lpstr>
      <vt:lpstr>JobCount</vt:lpstr>
      <vt:lpstr>JobDone</vt:lpstr>
      <vt:lpstr>JobEstGM</vt:lpstr>
      <vt:lpstr>JobMarVar</vt:lpstr>
      <vt:lpstr>JobOverrun</vt:lpstr>
      <vt:lpstr>JobPartial</vt:lpstr>
      <vt:lpstr>JobWAct</vt:lpstr>
      <vt:lpstr>JobWEst</vt:lpstr>
      <vt:lpstr>MAP</vt:lpstr>
      <vt:lpstr>MAR</vt:lpstr>
      <vt:lpstr>MBack</vt:lpstr>
      <vt:lpstr>MCA</vt:lpstr>
      <vt:lpstr>MCash</vt:lpstr>
      <vt:lpstr>MChg</vt:lpstr>
      <vt:lpstr>MCL</vt:lpstr>
      <vt:lpstr>MDC</vt:lpstr>
      <vt:lpstr>MDoneF</vt:lpstr>
      <vt:lpstr>MDoneTxt</vt:lpstr>
      <vt:lpstr>MDraw</vt:lpstr>
      <vt:lpstr>MEqp</vt:lpstr>
      <vt:lpstr>MGM</vt:lpstr>
      <vt:lpstr>MGP</vt:lpstr>
      <vt:lpstr>MJobC</vt:lpstr>
      <vt:lpstr>MJobP</vt:lpstr>
      <vt:lpstr>MJobS</vt:lpstr>
      <vt:lpstr>MLab</vt:lpstr>
      <vt:lpstr>MLbl</vt:lpstr>
      <vt:lpstr>MMat</vt:lpstr>
      <vt:lpstr>MOdc</vt:lpstr>
      <vt:lpstr>MOH</vt:lpstr>
      <vt:lpstr>MOM</vt:lpstr>
      <vt:lpstr>MoMProv</vt:lpstr>
      <vt:lpstr>MOP</vt:lpstr>
      <vt:lpstr>MPmt</vt:lpstr>
      <vt:lpstr>MQI</vt:lpstr>
      <vt:lpstr>MQW</vt:lpstr>
      <vt:lpstr>MRev</vt:lpstr>
      <vt:lpstr>MSub</vt:lpstr>
      <vt:lpstr>OhOK</vt:lpstr>
      <vt:lpstr>PrfOK</vt:lpstr>
      <vt:lpstr>PriARD</vt:lpstr>
      <vt:lpstr>PriBack</vt:lpstr>
      <vt:lpstr>PriCash</vt:lpstr>
      <vt:lpstr>PriDone</vt:lpstr>
      <vt:lpstr>PriGM</vt:lpstr>
      <vt:lpstr>PriMat</vt:lpstr>
      <vt:lpstr>'ACTION PLAN'!Print_Area</vt:lpstr>
      <vt:lpstr>'EXECUTIVE DASHBOARD'!Print_Area</vt:lpstr>
      <vt:lpstr>'JOB PERFORMANCE'!Print_Area</vt:lpstr>
      <vt:lpstr>'KPI ANALYSIS'!Print_Area</vt:lpstr>
      <vt:lpstr>'KPI TARGETS'!Print_Area</vt:lpstr>
      <vt:lpstr>'MONTHLY INPUTS'!Print_Area</vt:lpstr>
      <vt:lpstr>'START HERE'!Print_Area</vt:lpstr>
      <vt:lpstr>'WORKING CAPITAL'!Print_Area</vt:lpstr>
      <vt:lpstr>PriRev</vt:lpstr>
      <vt:lpstr>ProvCh1</vt:lpstr>
      <vt:lpstr>ProvCh2</vt:lpstr>
      <vt:lpstr>ProvMonths</vt:lpstr>
      <vt:lpstr>ProvWC</vt:lpstr>
      <vt:lpstr>RepDone</vt:lpstr>
      <vt:lpstr>RepIdx</vt:lpstr>
      <vt:lpstr>RepOK</vt:lpstr>
      <vt:lpstr>RevOK</vt:lpstr>
      <vt:lpstr>StARD</vt:lpstr>
      <vt:lpstr>StARD2</vt:lpstr>
      <vt:lpstr>StBack</vt:lpstr>
      <vt:lpstr>StCash</vt:lpstr>
      <vt:lpstr>StCov</vt:lpstr>
      <vt:lpstr>StDC</vt:lpstr>
      <vt:lpstr>StGM</vt:lpstr>
      <vt:lpstr>StJMV</vt:lpstr>
      <vt:lpstr>StLab</vt:lpstr>
      <vt:lpstr>StMat</vt:lpstr>
      <vt:lpstr>StOH</vt:lpstr>
      <vt:lpstr>StOM</vt:lpstr>
      <vt:lpstr>StOP</vt:lpstr>
      <vt:lpstr>StRev</vt:lpstr>
      <vt:lpstr>StSub</vt:lpstr>
      <vt:lpstr>TgtARD</vt:lpstr>
      <vt:lpstr>TgtBack</vt:lpstr>
      <vt:lpstr>TgtCash</vt:lpstr>
      <vt:lpstr>TgtCov</vt:lpstr>
      <vt:lpstr>TgtDC</vt:lpstr>
      <vt:lpstr>TgtGM</vt:lpstr>
      <vt:lpstr>TgtJMV</vt:lpstr>
      <vt:lpstr>TgtLab</vt:lpstr>
      <vt:lpstr>TgtMat</vt:lpstr>
      <vt:lpstr>TgtOH</vt:lpstr>
      <vt:lpstr>TgtOM</vt:lpstr>
      <vt:lpstr>TgtRev</vt:lpstr>
      <vt:lpstr>TgtSub</vt:lpstr>
      <vt:lpstr>WcOK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Senthuran Selvanathan</cp:lastModifiedBy>
  <cp:revision>1</cp:revision>
  <dcterms:created xsi:type="dcterms:W3CDTF">2026-09-10T15:41:35Z</dcterms:created>
  <dcterms:modified xsi:type="dcterms:W3CDTF">2026-09-10T18:47:23Z</dcterms:modified>
  <dc:language>en-US</dc:language>
</cp:coreProperties>
</file>