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omments3.xml" ContentType="application/vnd.openxmlformats-officedocument.spreadsheetml.comments+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c3d67ec76a37ead1/Desktop/Vertex Strategic Finance/Resources - Lead Magnets/"/>
    </mc:Choice>
  </mc:AlternateContent>
  <xr:revisionPtr revIDLastSave="0" documentId="8_{4E94E54F-8AD3-4007-9B47-B69173AC9CE2}" xr6:coauthVersionLast="47" xr6:coauthVersionMax="47" xr10:uidLastSave="{00000000-0000-0000-0000-000000000000}"/>
  <bookViews>
    <workbookView xWindow="25695" yWindow="0" windowWidth="26010" windowHeight="20985" tabRatio="683" xr2:uid="{00000000-000D-0000-FFFF-FFFF00000000}"/>
  </bookViews>
  <sheets>
    <sheet name="START HERE" sheetId="1" r:id="rId1"/>
    <sheet name="HIRE INPUTS" sheetId="2" r:id="rId2"/>
    <sheet name="BUSINESS INPUTS" sheetId="3" r:id="rId3"/>
    <sheet name="HIRING ANALYSIS" sheetId="4" r:id="rId4"/>
    <sheet name="SCENARIO ANALYSIS" sheetId="5" r:id="rId5"/>
    <sheet name="EXECUTIVE DASHBOARD" sheetId="6" r:id="rId6"/>
  </sheets>
  <definedNames>
    <definedName name="_xlnm.Print_Area" localSheetId="2">'BUSINESS INPUTS'!$A$1:$F$39</definedName>
    <definedName name="_xlnm.Print_Area" localSheetId="5">'EXECUTIVE DASHBOARD'!$A$1:$N$63</definedName>
    <definedName name="_xlnm.Print_Area" localSheetId="1">'HIRE INPUTS'!$A$1:$F$67</definedName>
    <definedName name="_xlnm.Print_Area" localSheetId="3">'HIRING ANALYSIS'!$A$1:$N$68</definedName>
    <definedName name="_xlnm.Print_Area" localSheetId="4">'SCENARIO ANALYSIS'!$A$1:$N$68</definedName>
    <definedName name="_xlnm.Print_Area" localSheetId="0">'START HERE'!$A$1:$I$50</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55" i="6" l="1"/>
  <c r="F48" i="6"/>
  <c r="F45" i="6"/>
  <c r="B12" i="6"/>
  <c r="H2" i="6"/>
  <c r="C53" i="5"/>
  <c r="C52" i="5"/>
  <c r="C51" i="5"/>
  <c r="N40" i="5"/>
  <c r="M40" i="5"/>
  <c r="L40" i="5"/>
  <c r="K40" i="5"/>
  <c r="J40" i="5"/>
  <c r="I40" i="5"/>
  <c r="H40" i="5"/>
  <c r="G40" i="5"/>
  <c r="F40" i="5"/>
  <c r="E40" i="5"/>
  <c r="D40" i="5"/>
  <c r="C40" i="5"/>
  <c r="E15" i="5"/>
  <c r="E16" i="5" s="1"/>
  <c r="D15" i="5"/>
  <c r="D16" i="5" s="1"/>
  <c r="C15" i="5"/>
  <c r="C16" i="5" s="1"/>
  <c r="N63" i="4"/>
  <c r="M63" i="4"/>
  <c r="L63" i="4"/>
  <c r="K63" i="4"/>
  <c r="J63" i="4"/>
  <c r="I63" i="4"/>
  <c r="H63" i="4"/>
  <c r="G63" i="4"/>
  <c r="F63" i="4"/>
  <c r="E63" i="4"/>
  <c r="D63" i="4"/>
  <c r="N59" i="4"/>
  <c r="M59" i="4"/>
  <c r="L59" i="4"/>
  <c r="K59" i="4"/>
  <c r="J59" i="4"/>
  <c r="I59" i="4"/>
  <c r="H59" i="4"/>
  <c r="G59" i="4"/>
  <c r="F59" i="4"/>
  <c r="E59" i="4"/>
  <c r="D59" i="4"/>
  <c r="C59" i="4"/>
  <c r="N57" i="4"/>
  <c r="M57" i="4"/>
  <c r="L57" i="4"/>
  <c r="K57" i="4"/>
  <c r="J57" i="4"/>
  <c r="I57" i="4"/>
  <c r="H57" i="4"/>
  <c r="G57" i="4"/>
  <c r="F57" i="4"/>
  <c r="E57" i="4"/>
  <c r="D57" i="4"/>
  <c r="C57" i="4"/>
  <c r="C45" i="4"/>
  <c r="C44" i="4"/>
  <c r="D43" i="4"/>
  <c r="C43" i="4"/>
  <c r="C27" i="4"/>
  <c r="C30" i="3"/>
  <c r="C24" i="3"/>
  <c r="C17" i="3"/>
  <c r="C15" i="3"/>
  <c r="C11" i="3"/>
  <c r="C54" i="2"/>
  <c r="C44" i="2"/>
  <c r="C61" i="2" s="1"/>
  <c r="C35" i="2"/>
  <c r="C60" i="2" s="1"/>
  <c r="C23" i="2"/>
  <c r="C19" i="2"/>
  <c r="C7" i="4" s="1"/>
  <c r="E17" i="5" l="1"/>
  <c r="D17" i="5"/>
  <c r="C17" i="5"/>
  <c r="N60" i="4"/>
  <c r="N61" i="4" s="1"/>
  <c r="M60" i="4"/>
  <c r="M61" i="4" s="1"/>
  <c r="L60" i="4"/>
  <c r="L61" i="4" s="1"/>
  <c r="K60" i="4"/>
  <c r="K61" i="4" s="1"/>
  <c r="J60" i="4"/>
  <c r="J61" i="4" s="1"/>
  <c r="I60" i="4"/>
  <c r="I61" i="4" s="1"/>
  <c r="H60" i="4"/>
  <c r="H61" i="4" s="1"/>
  <c r="G60" i="4"/>
  <c r="G61" i="4" s="1"/>
  <c r="F60" i="4"/>
  <c r="F61" i="4" s="1"/>
  <c r="E60" i="4"/>
  <c r="E61" i="4" s="1"/>
  <c r="D60" i="4"/>
  <c r="D61" i="4" s="1"/>
  <c r="C60" i="4"/>
  <c r="C61" i="4" s="1"/>
  <c r="D44" i="4"/>
  <c r="C46" i="4"/>
  <c r="E43" i="4"/>
  <c r="C37" i="4"/>
  <c r="C28" i="4"/>
  <c r="C29" i="4" s="1"/>
  <c r="C18" i="4"/>
  <c r="C18" i="3"/>
  <c r="C16" i="3"/>
  <c r="C63" i="4"/>
  <c r="C64" i="2"/>
  <c r="C54" i="5"/>
  <c r="C11" i="4"/>
  <c r="C58" i="2"/>
  <c r="C62" i="2" s="1"/>
  <c r="C8" i="4"/>
  <c r="C28" i="2"/>
  <c r="C59" i="2" s="1"/>
  <c r="E44" i="4" l="1"/>
  <c r="C47" i="4"/>
  <c r="L45" i="6" s="1"/>
  <c r="B23" i="4"/>
  <c r="C51" i="4"/>
  <c r="C63" i="2"/>
  <c r="C65" i="2"/>
  <c r="C20" i="5"/>
  <c r="D20" i="5"/>
  <c r="E20" i="5"/>
  <c r="B7" i="6"/>
  <c r="C9" i="4"/>
  <c r="C35" i="5" l="1"/>
  <c r="C33" i="5"/>
  <c r="C31" i="5"/>
  <c r="D35" i="5"/>
  <c r="D33" i="5"/>
  <c r="D31" i="5"/>
  <c r="E35" i="5"/>
  <c r="E33" i="5"/>
  <c r="E31" i="5"/>
  <c r="F35" i="5"/>
  <c r="F31" i="5"/>
  <c r="F33" i="5"/>
  <c r="G31" i="5"/>
  <c r="G33" i="5"/>
  <c r="G35" i="5"/>
  <c r="H35" i="5"/>
  <c r="H31" i="5"/>
  <c r="H33" i="5"/>
  <c r="I33" i="5"/>
  <c r="I35" i="5"/>
  <c r="I31" i="5"/>
  <c r="J31" i="5"/>
  <c r="J33" i="5"/>
  <c r="J35" i="5"/>
  <c r="K31" i="5"/>
  <c r="K33" i="5"/>
  <c r="K35" i="5"/>
  <c r="L31" i="5"/>
  <c r="L33" i="5"/>
  <c r="L35" i="5"/>
  <c r="M31" i="5"/>
  <c r="M33" i="5"/>
  <c r="M35" i="5"/>
  <c r="N31" i="5"/>
  <c r="N33" i="5"/>
  <c r="G41" i="5"/>
  <c r="J41" i="5"/>
  <c r="D45" i="4"/>
  <c r="C41" i="5"/>
  <c r="D41" i="5"/>
  <c r="E41" i="5"/>
  <c r="F41" i="5"/>
  <c r="H41" i="5"/>
  <c r="I41" i="5"/>
  <c r="K41" i="5"/>
  <c r="L41" i="5"/>
  <c r="M41" i="5"/>
  <c r="N41" i="5"/>
  <c r="C62" i="4"/>
  <c r="C64" i="4" s="1"/>
  <c r="C65" i="4" s="1"/>
  <c r="C66" i="4" s="1"/>
  <c r="D62" i="4"/>
  <c r="D64" i="4" s="1"/>
  <c r="D65" i="4" s="1"/>
  <c r="E62" i="4"/>
  <c r="E64" i="4" s="1"/>
  <c r="E65" i="4" s="1"/>
  <c r="G62" i="4"/>
  <c r="G64" i="4" s="1"/>
  <c r="G65" i="4" s="1"/>
  <c r="H62" i="4"/>
  <c r="H64" i="4" s="1"/>
  <c r="H65" i="4" s="1"/>
  <c r="I62" i="4"/>
  <c r="I64" i="4" s="1"/>
  <c r="I65" i="4" s="1"/>
  <c r="J62" i="4"/>
  <c r="J64" i="4" s="1"/>
  <c r="J65" i="4" s="1"/>
  <c r="K62" i="4"/>
  <c r="K64" i="4" s="1"/>
  <c r="K65" i="4" s="1"/>
  <c r="L62" i="4"/>
  <c r="L64" i="4" s="1"/>
  <c r="L65" i="4" s="1"/>
  <c r="M62" i="4"/>
  <c r="M64" i="4" s="1"/>
  <c r="M65" i="4" s="1"/>
  <c r="N62" i="4"/>
  <c r="N64" i="4" s="1"/>
  <c r="N65" i="4" s="1"/>
  <c r="F62" i="4"/>
  <c r="F64" i="4" s="1"/>
  <c r="F65" i="4" s="1"/>
  <c r="C18" i="5"/>
  <c r="C19" i="5" s="1"/>
  <c r="C22" i="5" s="1"/>
  <c r="C23" i="5" s="1"/>
  <c r="D18" i="5"/>
  <c r="D19" i="5" s="1"/>
  <c r="D22" i="5" s="1"/>
  <c r="D23" i="5" s="1"/>
  <c r="E18" i="5"/>
  <c r="E19" i="5" s="1"/>
  <c r="E22" i="5" s="1"/>
  <c r="E23" i="5" s="1"/>
  <c r="N35" i="5"/>
  <c r="C10" i="4"/>
  <c r="F7" i="6"/>
  <c r="C12" i="4"/>
  <c r="C52" i="6" s="1"/>
  <c r="C14" i="4"/>
  <c r="C13" i="4"/>
  <c r="C20" i="4"/>
  <c r="C51" i="6"/>
  <c r="E24" i="5" l="1"/>
  <c r="C36" i="5"/>
  <c r="C45" i="5"/>
  <c r="D24" i="5"/>
  <c r="C34" i="5"/>
  <c r="C24" i="5"/>
  <c r="C32" i="5"/>
  <c r="D46" i="4"/>
  <c r="E45" i="4"/>
  <c r="D45" i="5"/>
  <c r="E45" i="5" s="1"/>
  <c r="C42" i="5"/>
  <c r="C19" i="4"/>
  <c r="C21" i="4" s="1"/>
  <c r="C30" i="4"/>
  <c r="C31" i="4" s="1"/>
  <c r="D66" i="4"/>
  <c r="E66" i="4" s="1"/>
  <c r="F66" i="4" s="1"/>
  <c r="G66" i="4" s="1"/>
  <c r="H66" i="4" s="1"/>
  <c r="I66" i="4" s="1"/>
  <c r="J66" i="4" s="1"/>
  <c r="K66" i="4" s="1"/>
  <c r="L66" i="4" s="1"/>
  <c r="M66" i="4" s="1"/>
  <c r="N66" i="4" s="1"/>
  <c r="D36" i="5" l="1"/>
  <c r="D34" i="5"/>
  <c r="D32" i="5"/>
  <c r="E46" i="4"/>
  <c r="D47" i="4"/>
  <c r="C56" i="6"/>
  <c r="D42" i="5"/>
  <c r="F46" i="6"/>
  <c r="J7" i="6"/>
  <c r="C36" i="4"/>
  <c r="C38" i="4" s="1"/>
  <c r="C22" i="4"/>
  <c r="E21" i="5"/>
  <c r="D21" i="5"/>
  <c r="C21" i="5"/>
  <c r="C53" i="6"/>
  <c r="F12" i="6"/>
  <c r="C52" i="4"/>
  <c r="C53" i="4" s="1"/>
  <c r="C32" i="4"/>
  <c r="L46" i="6" l="1"/>
  <c r="E47" i="4"/>
  <c r="C54" i="6"/>
  <c r="F47" i="6"/>
  <c r="E36" i="5"/>
  <c r="F36" i="5" s="1"/>
  <c r="G36" i="5" s="1"/>
  <c r="H36" i="5" s="1"/>
  <c r="I36" i="5" s="1"/>
  <c r="J36" i="5" s="1"/>
  <c r="K36" i="5" s="1"/>
  <c r="L36" i="5" s="1"/>
  <c r="M36" i="5" s="1"/>
  <c r="N36" i="5" s="1"/>
  <c r="E25" i="5" s="1"/>
  <c r="E26" i="5"/>
  <c r="E34" i="5"/>
  <c r="F34" i="5" s="1"/>
  <c r="G34" i="5" s="1"/>
  <c r="H34" i="5" s="1"/>
  <c r="I34" i="5" s="1"/>
  <c r="J34" i="5" s="1"/>
  <c r="K34" i="5" s="1"/>
  <c r="L34" i="5" s="1"/>
  <c r="C47" i="5"/>
  <c r="D26" i="5"/>
  <c r="E32" i="5"/>
  <c r="F32" i="5" s="1"/>
  <c r="G32" i="5" s="1"/>
  <c r="H32" i="5" s="1"/>
  <c r="I32" i="5" s="1"/>
  <c r="J32" i="5" s="1"/>
  <c r="K32" i="5" s="1"/>
  <c r="L32" i="5" s="1"/>
  <c r="M32" i="5" s="1"/>
  <c r="N32" i="5" s="1"/>
  <c r="C25" i="5" s="1"/>
  <c r="C59" i="6" s="1"/>
  <c r="C26" i="5"/>
  <c r="E42" i="5"/>
  <c r="F42" i="5" s="1"/>
  <c r="G42" i="5" s="1"/>
  <c r="H42" i="5" s="1"/>
  <c r="I42" i="5" s="1"/>
  <c r="J42" i="5" s="1"/>
  <c r="K42" i="5" s="1"/>
  <c r="L42" i="5" s="1"/>
  <c r="M42" i="5" s="1"/>
  <c r="N42" i="5" s="1"/>
  <c r="D46" i="5" s="1"/>
  <c r="D47" i="5"/>
  <c r="C58" i="6" l="1"/>
  <c r="M34" i="5"/>
  <c r="N34" i="5" s="1"/>
  <c r="C57" i="6"/>
  <c r="L47" i="6"/>
  <c r="J12" i="6"/>
  <c r="C55" i="5"/>
  <c r="C56" i="5" s="1"/>
  <c r="C60" i="6"/>
  <c r="E47" i="5"/>
  <c r="D25" i="5" l="1"/>
  <c r="G14" i="5" s="1"/>
  <c r="C46" i="5"/>
  <c r="E46" i="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Vertex Strategic Finance</author>
  </authors>
  <commentList>
    <comment ref="C11" authorId="0" shapeId="0" xr:uid="{00000000-0006-0000-0100-000001000000}">
      <text>
        <r>
          <rPr>
            <sz val="10"/>
            <rFont val="Arial"/>
            <family val="2"/>
          </rPr>
          <t>Annual Salary uses the Annual Salary field. Hourly calculates wages as hourly wage x hours per week x weeks per year.</t>
        </r>
      </text>
    </comment>
    <comment ref="C27" authorId="0" shapeId="0" xr:uid="{00000000-0006-0000-0100-000002000000}">
      <text>
        <r>
          <rPr>
            <sz val="10"/>
            <rFont val="Arial"/>
            <family val="2"/>
          </rPr>
          <t>This is a user-defined estimate, not a published or recommended rate. Employer payroll obligations vary by jurisdiction, compensation structure and employer, and change over time. Confirm the figure that applies to your business.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Vertex Strategic Finance</author>
  </authors>
  <commentList>
    <comment ref="C9" authorId="0" shapeId="0" xr:uid="{00000000-0006-0000-0200-000001000000}">
      <text>
        <r>
          <rPr>
            <sz val="10"/>
            <rFont val="Arial"/>
            <family val="2"/>
          </rPr>
          <t>Revenue less the direct costs of delivering the work. If you are unsure, your accounting software usually reports this as gross profit.</t>
        </r>
      </text>
    </comment>
    <comment ref="C23" authorId="0" shapeId="0" xr:uid="{00000000-0006-0000-0200-000002000000}">
      <text>
        <r>
          <rPr>
            <sz val="10"/>
            <rFont val="Arial"/>
            <family val="2"/>
          </rPr>
          <t>This is a user-defined figure. It is not an industry benchmark, a professional recommendation, or a required reserve level.</t>
        </r>
      </text>
    </comment>
    <comment ref="C28" authorId="0" shapeId="0" xr:uid="{00000000-0006-0000-0200-000003000000}">
      <text>
        <r>
          <rPr>
            <sz val="10"/>
            <rFont val="Arial"/>
            <family val="2"/>
          </rPr>
          <t>Enter the additional monthly revenue you expect once the hire is fully productive — either revenue the employee generates directly, or revenue the business can support because the hire creates capacity. Count it once, not both ways.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Vertex Strategic Finance</author>
  </authors>
  <commentList>
    <comment ref="C7" authorId="0" shapeId="0" xr:uid="{00000000-0006-0000-0400-000001000000}">
      <text>
        <r>
          <rPr>
            <sz val="10"/>
            <rFont val="Arial"/>
            <family val="2"/>
          </rPr>
          <t>A user-defined assumption about how much of the expected revenue benefit is actually achieved. There is no standard or recommended value.</t>
        </r>
      </text>
    </comment>
  </commentList>
</comments>
</file>

<file path=xl/sharedStrings.xml><?xml version="1.0" encoding="utf-8"?>
<sst xmlns="http://schemas.openxmlformats.org/spreadsheetml/2006/main" count="403" uniqueCount="313">
  <si>
    <t>VERTEX STRATEGIC FINANCE</t>
  </si>
  <si>
    <t>Can I Afford to Hire? Calculator</t>
  </si>
  <si>
    <t>Understand the true cost, break-even point, cash impact, and downside risk of your next hire before making the commitment.</t>
  </si>
  <si>
    <t>What This Tool Does</t>
  </si>
  <si>
    <t>Hiring decisions should consider more than salary alone.</t>
  </si>
  <si>
    <t>Payroll costs, benefits, equipment, software, recruiting, onboarding, and other expenses can make the true cost of an employee materially higher than their base compensation.</t>
  </si>
  <si>
    <t>At the same time, the financial impact of a hire depends on what the business expects to gain from the additional capacity.</t>
  </si>
  <si>
    <t>This calculator helps business owners estimate the fully loaded cost of a potential hire and compare that cost against expected revenue, profitability, and cash flow.</t>
  </si>
  <si>
    <t>How to Use It</t>
  </si>
  <si>
    <t>1.</t>
  </si>
  <si>
    <t>Enter the expected compensation and additional costs of the new employee.</t>
  </si>
  <si>
    <t>HIRE INPUTS tab</t>
  </si>
  <si>
    <t>2.</t>
  </si>
  <si>
    <t>Enter basic information about the business's current financial performance.</t>
  </si>
  <si>
    <t>BUSINESS INPUTS tab</t>
  </si>
  <si>
    <t>3.</t>
  </si>
  <si>
    <t>Enter the expected financial impact of the hire.</t>
  </si>
  <si>
    <t>4.</t>
  </si>
  <si>
    <t>Review the Hiring Analysis.</t>
  </si>
  <si>
    <t>HIRING ANALYSIS tab</t>
  </si>
  <si>
    <t>5.</t>
  </si>
  <si>
    <t>Stress-test the decision using the Scenario Analysis.</t>
  </si>
  <si>
    <t>SCENARIO tab</t>
  </si>
  <si>
    <t>6.</t>
  </si>
  <si>
    <t>Review the Executive Dashboard.</t>
  </si>
  <si>
    <t>DASHBOARD tab</t>
  </si>
  <si>
    <t>HOW TO READ THE RESULTS</t>
  </si>
  <si>
    <t>This calculator does not tell you whether to make the hire. It shows the projected financial impact of the assumptions you enter, so the decision stays yours.</t>
  </si>
  <si>
    <t>Questions This Calculator Helps Answer</t>
  </si>
  <si>
    <t>—</t>
  </si>
  <si>
    <t>What is the employee's true annual cost?</t>
  </si>
  <si>
    <t>What will the hire cost each month?</t>
  </si>
  <si>
    <t>How much additional revenue is required to cover the hire?</t>
  </si>
  <si>
    <t>What happens to operating profit if the hire is made?</t>
  </si>
  <si>
    <t>What happens if expected revenue growth is delayed?</t>
  </si>
  <si>
    <t>How much cash could the hire consume before becoming self-supporting?</t>
  </si>
  <si>
    <t>How sensitive is the decision to different assumptions?</t>
  </si>
  <si>
    <t>Reading the Workbook</t>
  </si>
  <si>
    <t>Input</t>
  </si>
  <si>
    <t>Shaded cells are yours to change. Type over the sample numbers with your own.</t>
  </si>
  <si>
    <t>Formula</t>
  </si>
  <si>
    <t>Unshaded cells calculate automatically. Sheets are protected without a password — use Review › Unprotect Sheet if you need to edit them.</t>
  </si>
  <si>
    <t>Important</t>
  </si>
  <si>
    <t>This tool is provided for general informational and planning purposes only and does not constitute accounting, tax, legal, employment, investment, financing, or financial advice. Actual employment costs and statutory obligations vary based on jurisdiction, compensation structure, employee circumstances, benefits, payroll requirements, and other factors. Users should verify applicable payroll, employment, tax, and legal requirements with appropriate professionals.   All figures included in this workbook are FICTIONAL EXAMPLE DATA created for illustration only and do not represent any real business, employee, or individual.</t>
  </si>
  <si>
    <t>Vertex Strategic Finance</t>
  </si>
  <si>
    <t>CPA-Led Accounting &amp; Advisory for Owner-Led Businesses</t>
  </si>
  <si>
    <t>www.vertexstrategicfinance.ca    |    info@vertexstrategicfinance.ca</t>
  </si>
  <si>
    <t>Hire Inputs</t>
  </si>
  <si>
    <t>Everything about the proposed hire.  Enter your own numbers in the shaded cells — the fully loaded cost at the bottom calculates automatically.</t>
  </si>
  <si>
    <t>ROLE INFORMATION</t>
  </si>
  <si>
    <t>Item</t>
  </si>
  <si>
    <t>Your Input</t>
  </si>
  <si>
    <t>Notes</t>
  </si>
  <si>
    <t>Position / Role Name</t>
  </si>
  <si>
    <t>Operations Manager</t>
  </si>
  <si>
    <t>A short description of the role you are considering.</t>
  </si>
  <si>
    <t>Expected Start Date</t>
  </si>
  <si>
    <t>The 12-month analysis begins in the month of this date.</t>
  </si>
  <si>
    <t>Employment Type</t>
  </si>
  <si>
    <t>Full-Time</t>
  </si>
  <si>
    <t>Descriptive only. Hours per week and weeks per year drive the hourly calculation below.</t>
  </si>
  <si>
    <t>Compensation Basis</t>
  </si>
  <si>
    <t>Annual Salary</t>
  </si>
  <si>
    <t>Choose Annual Salary or Hourly. This decides which of the next three inputs is used.</t>
  </si>
  <si>
    <t>Used when Compensation Basis is set to Annual Salary.</t>
  </si>
  <si>
    <t>Hourly Wage</t>
  </si>
  <si>
    <t>Used when Compensation Basis is set to Hourly.</t>
  </si>
  <si>
    <t>Expected Hours Per Week</t>
  </si>
  <si>
    <t>Used with the hourly wage. In this example, 37.50 x 40 x 52 gives the same $78,000.</t>
  </si>
  <si>
    <t>Expected Weeks Per Year</t>
  </si>
  <si>
    <t>Paid weeks per year used in the hourly calculation.</t>
  </si>
  <si>
    <t>COMPENSATION</t>
  </si>
  <si>
    <t>Annual Amount</t>
  </si>
  <si>
    <t>Base Salary / Wages</t>
  </si>
  <si>
    <t>Calculated from Role Information above — salary, or hourly x hours x weeks.</t>
  </si>
  <si>
    <t>Expected Bonus / Variable Compensation</t>
  </si>
  <si>
    <t>Any bonus you realistically expect to pay in a normal year.</t>
  </si>
  <si>
    <t>Commission</t>
  </si>
  <si>
    <t>Expected annual commission, if any.</t>
  </si>
  <si>
    <t>Other Cash Compensation</t>
  </si>
  <si>
    <t>Allowances or other cash amounts paid directly to the employee.</t>
  </si>
  <si>
    <t>Total Direct Compensation</t>
  </si>
  <si>
    <t>EMPLOYER PAYROLL COSTS</t>
  </si>
  <si>
    <t>Estimated Employer Payroll Burden %</t>
  </si>
  <si>
    <t>Your own estimate of employer-paid payroll costs as a percentage of direct compensation. This can represent employer payroll taxes, statutory contributions, workers' compensation premiums and similar payroll-related costs. Rates differ by province and by employer and change over time, so base this on your own circumstances or confirm it with your advisor.</t>
  </si>
  <si>
    <t>Estimated Employer Payroll Costs</t>
  </si>
  <si>
    <t>BENEFITS</t>
  </si>
  <si>
    <t>Health / Dental Benefits</t>
  </si>
  <si>
    <t>Employer-paid portion, per year.</t>
  </si>
  <si>
    <t>Retirement / Pension Contributions</t>
  </si>
  <si>
    <t>Employer contributions or matching, per year.</t>
  </si>
  <si>
    <t>Other Employee Benefits</t>
  </si>
  <si>
    <t>Life or disability coverage, wellness allowances, and similar.</t>
  </si>
  <si>
    <t>Total Benefits</t>
  </si>
  <si>
    <t>RECURRING EMPLOYEE COSTS</t>
  </si>
  <si>
    <t>Software / Licences</t>
  </si>
  <si>
    <t>Seats and licences this role would need, per year.</t>
  </si>
  <si>
    <t>Phone / Communications</t>
  </si>
  <si>
    <t>Mobile plan or communications allowance, per year.</t>
  </si>
  <si>
    <t>Travel / Vehicle Allowance</t>
  </si>
  <si>
    <t>Expected annual travel or vehicle costs.</t>
  </si>
  <si>
    <t>Training / Professional Development</t>
  </si>
  <si>
    <t>Ongoing training budget, per year.</t>
  </si>
  <si>
    <t>Other Recurring Employee Costs</t>
  </si>
  <si>
    <t>Anything else that repeats every year.</t>
  </si>
  <si>
    <t>Total Recurring Employee Costs</t>
  </si>
  <si>
    <t>ONE-TIME HIRING / ONBOARDING COSTS</t>
  </si>
  <si>
    <t>One-Time Amount</t>
  </si>
  <si>
    <t>Recruiting Fees</t>
  </si>
  <si>
    <t>Agency fees, job postings, background checks.</t>
  </si>
  <si>
    <t>Signing Bonus</t>
  </si>
  <si>
    <t>Any one-time amount paid on joining.</t>
  </si>
  <si>
    <t>Computer / Equipment</t>
  </si>
  <si>
    <t>Laptop, phone, tools.</t>
  </si>
  <si>
    <t>Furniture / Workspace Setup</t>
  </si>
  <si>
    <t>Desk, chair, workspace changes.</t>
  </si>
  <si>
    <t>Initial Training</t>
  </si>
  <si>
    <t>Onboarding and initial certification costs.</t>
  </si>
  <si>
    <t>Other Onboarding Costs</t>
  </si>
  <si>
    <t>Anything else incurred once, at the start.</t>
  </si>
  <si>
    <t>Total One-Time Hiring Costs</t>
  </si>
  <si>
    <t>FULLY LOADED COST</t>
  </si>
  <si>
    <t>Component</t>
  </si>
  <si>
    <t>Amount</t>
  </si>
  <si>
    <t>ANNUAL RECURRING COST OF HIRE</t>
  </si>
  <si>
    <t>What the employee is expected to cost every year, once hired.</t>
  </si>
  <si>
    <t>Monthly Recurring Cost of Hire</t>
  </si>
  <si>
    <t>Annual recurring cost divided by 12.</t>
  </si>
  <si>
    <t>Plus:  Total One-Time Hiring / Onboarding Costs</t>
  </si>
  <si>
    <t>FIRST-YEAR TOTAL COST</t>
  </si>
  <si>
    <t>Annual recurring cost plus the one-time cost of hiring and onboarding.</t>
  </si>
  <si>
    <t>Vertex Strategic Finance  |  All amounts shown are FICTIONAL EXAMPLE DATA for an illustrative owner-led Canadian service business.  Replace them with your own figures.  Employer payroll burden, benefits and all other assumptions are user-defined.</t>
  </si>
  <si>
    <t>Business Inputs</t>
  </si>
  <si>
    <t>Where the business stands today, and what you expect the hire to add.  Everything else in this workbook is built from these figures.</t>
  </si>
  <si>
    <t>CURRENT BUSINESS PERFORMANCE</t>
  </si>
  <si>
    <t>Monthly Average</t>
  </si>
  <si>
    <t>Average Monthly Revenue</t>
  </si>
  <si>
    <t>A typical month of sales for the business today.</t>
  </si>
  <si>
    <t>Average Monthly Gross Profit</t>
  </si>
  <si>
    <t>Revenue less direct costs of delivering the work (materials, subcontractors, direct labour).</t>
  </si>
  <si>
    <t>Average Monthly Operating Expenses</t>
  </si>
  <si>
    <t>Overheads below gross profit — rent, admin salaries, software, insurance and so on. Do not include the cost of the new hire here; the calculator adds that separately.</t>
  </si>
  <si>
    <t>Average Monthly Operating Profit</t>
  </si>
  <si>
    <t>Calculated as gross profit less operating expenses, so it always agrees with the figures above.</t>
  </si>
  <si>
    <t>CURRENT BUSINESS METRICS</t>
  </si>
  <si>
    <t>Metric</t>
  </si>
  <si>
    <t>Calculated</t>
  </si>
  <si>
    <t>How it is worked out</t>
  </si>
  <si>
    <t>Gross Margin %</t>
  </si>
  <si>
    <t>Monthly gross profit divided by monthly revenue. Used to convert extra revenue into extra gross profit.</t>
  </si>
  <si>
    <t>Operating Margin %</t>
  </si>
  <si>
    <t>Monthly operating profit divided by monthly revenue.</t>
  </si>
  <si>
    <t>Annualised Revenue</t>
  </si>
  <si>
    <t>Monthly revenue x 12.</t>
  </si>
  <si>
    <t>Annualised Operating Profit</t>
  </si>
  <si>
    <t>Monthly operating profit x 12.</t>
  </si>
  <si>
    <t>CASH POSITION</t>
  </si>
  <si>
    <t>Current Cash Balance</t>
  </si>
  <si>
    <t>Total cash on hand today, BEFORE deducting your minimum desired balance. The minimum is subtracted on the next line to arrive at the cushion.</t>
  </si>
  <si>
    <t>Minimum Desired Cash Balance</t>
  </si>
  <si>
    <t>YOUR choice of the lowest cash balance you are comfortable operating with. This is not a benchmark or a recommendation — set it to whatever suits your business.</t>
  </si>
  <si>
    <t>Available Cash Cushion</t>
  </si>
  <si>
    <t>Current cash balance less your minimum desired cash balance.</t>
  </si>
  <si>
    <t>EXPECTED IMPACT OF HIRE</t>
  </si>
  <si>
    <t>Expected Additional Monthly Revenue</t>
  </si>
  <si>
    <t>Once the hire is fully productive. This can be revenue the employee generates directly, OR revenue the business expects to be able to support because the hire creates capacity — for example, work the owner can now take on because someone else runs operations. Enter whichever applies, but count it only once.</t>
  </si>
  <si>
    <t>Expected Months Until Full Productivity</t>
  </si>
  <si>
    <t>The calculator builds a straight-line ramp from this figure. Enter 1 if you expect full productivity immediately.</t>
  </si>
  <si>
    <t>Ramp generated</t>
  </si>
  <si>
    <t>IMPORTANT NOTES</t>
  </si>
  <si>
    <t>Operating profit is not cash flow.  Operating profit measures profitability under normal accounting. Actual cash movement depends on when customers pay, when payroll and taxes are settled, working capital, financing and other factors. The cash section of this workbook estimates the financial investment the hire may require during ramp-up; it is not a detailed cash flow forecast.</t>
  </si>
  <si>
    <t>All figures supplied with this workbook are FICTIONAL EXAMPLE DATA for an illustrative owner-led Canadian service business with roughly $1.5 million of annual revenue. Gross margin, cash balances, minimum cash and expected revenue impact are all user-defined — the workbook contains no industry benchmarks or recommended levels.</t>
  </si>
  <si>
    <t>Vertex Strategic Finance  |  For general information and planning only — not accounting, tax, legal, employment or financial advice.</t>
  </si>
  <si>
    <t>Hiring Analysis</t>
  </si>
  <si>
    <t>FICTIONAL EXAMPLE DATA — replace with your own figures</t>
  </si>
  <si>
    <t>The projected financial impact of the assumptions you entered.  Every figure on this tab is calculated — nothing here is an input.</t>
  </si>
  <si>
    <t>TRUE COST OF HIRE</t>
  </si>
  <si>
    <t>Measure</t>
  </si>
  <si>
    <t>Annual Base Compensation</t>
  </si>
  <si>
    <t>Annual Recurring Cost of Hire</t>
  </si>
  <si>
    <t>One-Time Hiring / Onboarding Costs</t>
  </si>
  <si>
    <t>First-Year Total Cost</t>
  </si>
  <si>
    <t>Cost Above Base Compensation</t>
  </si>
  <si>
    <t>Recurring Cost as % of Base Compensation</t>
  </si>
  <si>
    <t>BREAK-EVEN ANALYSIS</t>
  </si>
  <si>
    <t>Gross Margin % (from Business Inputs)</t>
  </si>
  <si>
    <t>Gross Profit Required to Cover Hire — Monthly</t>
  </si>
  <si>
    <t>Gross Profit Required to Cover Hire — Annual</t>
  </si>
  <si>
    <t>Revenue Required to Cover Hire — Monthly</t>
  </si>
  <si>
    <t>Revenue Required to Cover Hire — Annual</t>
  </si>
  <si>
    <t>EXPECTED CONTRIBUTION  —  at full productivity</t>
  </si>
  <si>
    <t>Multiplied by Gross Margin %</t>
  </si>
  <si>
    <t>Expected Additional Monthly Gross Profit</t>
  </si>
  <si>
    <t>Less: Monthly Recurring Cost of Hire</t>
  </si>
  <si>
    <t>Estimated Monthly Contribution After Hire</t>
  </si>
  <si>
    <t>Estimated Annualised Contribution</t>
  </si>
  <si>
    <t>An estimate based on the assumptions you entered — not a projection of actual results. Additional revenue is assumed to earn the same gross margin as the existing business.</t>
  </si>
  <si>
    <t>BREAK-EVEN REVENUE GAP</t>
  </si>
  <si>
    <t>Revenue Above / (Below) Estimated Break-Even</t>
  </si>
  <si>
    <t>A comparison of two of your own assumptions. It is shown as a figure, not as a judgement about the hire.</t>
  </si>
  <si>
    <t>PROFITABILITY IMPACT  —  monthly, before vs. after at full productivity</t>
  </si>
  <si>
    <t>Before Hire</t>
  </si>
  <si>
    <t>After Hire</t>
  </si>
  <si>
    <t>Change</t>
  </si>
  <si>
    <t>Monthly Revenue</t>
  </si>
  <si>
    <t>Monthly Gross Profit</t>
  </si>
  <si>
    <t>Monthly Operating Expenses</t>
  </si>
  <si>
    <t>Monthly Operating Profit</t>
  </si>
  <si>
    <t>The cost of the new hire is added once, inside monthly operating expenses. It is not counted anywhere else in this comparison. Additional revenue is assumed to earn the existing gross margin.</t>
  </si>
  <si>
    <t>PAYBACK ON ONE-TIME COSTS</t>
  </si>
  <si>
    <t>Estimated Onboarding Cost Payback Period</t>
  </si>
  <si>
    <t>12-MONTH HIRING IMPACT  —  from the expected start date</t>
  </si>
  <si>
    <t>Month</t>
  </si>
  <si>
    <t>Month 1</t>
  </si>
  <si>
    <t>Month 2</t>
  </si>
  <si>
    <t>Month 3</t>
  </si>
  <si>
    <t>Month 4</t>
  </si>
  <si>
    <t>Month 5</t>
  </si>
  <si>
    <t>Month 6</t>
  </si>
  <si>
    <t>Month 7</t>
  </si>
  <si>
    <t>Month 8</t>
  </si>
  <si>
    <t>Month 9</t>
  </si>
  <si>
    <t>Month 10</t>
  </si>
  <si>
    <t>Month 11</t>
  </si>
  <si>
    <t>Month 12</t>
  </si>
  <si>
    <t>Calendar month</t>
  </si>
  <si>
    <t>Month number (used by the ramp calculation)</t>
  </si>
  <si>
    <t>Expected Productivity %</t>
  </si>
  <si>
    <t>Incremental Revenue</t>
  </si>
  <si>
    <t>Incremental Gross Profit</t>
  </si>
  <si>
    <t>Recurring Hire Cost</t>
  </si>
  <si>
    <t>One-Time Hiring Costs</t>
  </si>
  <si>
    <t>Total Hire Cost (recurring + one-time)</t>
  </si>
  <si>
    <t>Net Financial Contribution</t>
  </si>
  <si>
    <t>Cumulative Financial Contribution</t>
  </si>
  <si>
    <t>Vertex Strategic Finance  |  FICTIONAL EXAMPLE DATA, calculated from the HIRE INPUTS and BUSINESS INPUTS tabs.  For general information and planning only — not accounting, tax, legal, employment or financial advice.</t>
  </si>
  <si>
    <t>Scenario Analysis</t>
  </si>
  <si>
    <t>FICTIONAL EXAMPLE DATA</t>
  </si>
  <si>
    <t>What the projected impact looks like if the expected revenue benefit is higher, lower, or later than planned.  The three achievement rates and the delay are your assumptions.</t>
  </si>
  <si>
    <t>SCENARIO ASSUMPTIONS  —  USER DEFINED</t>
  </si>
  <si>
    <t>Assumption</t>
  </si>
  <si>
    <t>Downside Revenue Achievement %</t>
  </si>
  <si>
    <t>The share of your expected additional revenue actually achieved in the downside case. Example: 70% means the hire delivers 70% of the revenue you expect.</t>
  </si>
  <si>
    <t>Base Revenue Achievement %</t>
  </si>
  <si>
    <t>Normally 100% — the assumptions exactly as entered on the BUSINESS INPUTS tab.</t>
  </si>
  <si>
    <t>Upside Revenue Achievement %</t>
  </si>
  <si>
    <t>The share achieved in the upside case. Example: 120% means 20% more than expected.</t>
  </si>
  <si>
    <t>Revenue Benefit Delay (months)</t>
  </si>
  <si>
    <t>Used only by the Delayed Growth Test below. It pushes the whole revenue ramp back by this many months while the cost of the hire continues from Month 1.</t>
  </si>
  <si>
    <t>These are assumptions you choose, not recommendations. There is no standard or expected value for any of them.</t>
  </si>
  <si>
    <t>SCENARIO COMPARISON</t>
  </si>
  <si>
    <t>Downside</t>
  </si>
  <si>
    <t>Base</t>
  </si>
  <si>
    <t>Upside</t>
  </si>
  <si>
    <t>Revenue Achievement %</t>
  </si>
  <si>
    <t>Incremental Monthly Revenue (at full productivity)</t>
  </si>
  <si>
    <t>Incremental Monthly Gross Profit</t>
  </si>
  <si>
    <t>Estimated Monthly Contribution (full productivity)</t>
  </si>
  <si>
    <t>Annual Recurring Hire Cost</t>
  </si>
  <si>
    <t>Revenue Above / (Below) Break-Even (monthly)</t>
  </si>
  <si>
    <t>Projected Monthly Operating Profit</t>
  </si>
  <si>
    <t>Projected Operating Margin %</t>
  </si>
  <si>
    <t>First-Year Net Contribution (before one-time)</t>
  </si>
  <si>
    <t>Ending Cumulative 12-Month Contribution</t>
  </si>
  <si>
    <t>Estimated Peak Funding Requirement</t>
  </si>
  <si>
    <t>12-MONTH PATH BY SCENARIO</t>
  </si>
  <si>
    <t>Month number</t>
  </si>
  <si>
    <t>Downside — Net Financial Contribution</t>
  </si>
  <si>
    <t>Downside — Cumulative Contribution</t>
  </si>
  <si>
    <t>Base — Net Financial Contribution</t>
  </si>
  <si>
    <t>Base — Cumulative Contribution</t>
  </si>
  <si>
    <t>Upside — Net Financial Contribution</t>
  </si>
  <si>
    <t>Upside — Cumulative Contribution</t>
  </si>
  <si>
    <t>DELAYED GROWTH TEST  —  what if the expected revenue benefit arrives later?</t>
  </si>
  <si>
    <t>The cost of the hire continues from Month 1 while the revenue ramp is pushed back by the delay you entered above. Base revenue achievement is used throughout this test.</t>
  </si>
  <si>
    <t>With Delay — Expected Productivity %</t>
  </si>
  <si>
    <t>With Delay — Net Financial Contribution</t>
  </si>
  <si>
    <t>With Delay — Cumulative Contribution</t>
  </si>
  <si>
    <t>No Delay</t>
  </si>
  <si>
    <t>With Delay</t>
  </si>
  <si>
    <t>CASH IMPACT</t>
  </si>
  <si>
    <t>Minimum Desired Cash Balance (your input)</t>
  </si>
  <si>
    <t>Estimated Peak Funding Requirement (base case)</t>
  </si>
  <si>
    <t>Cash Cushion After Peak Funding Requirement</t>
  </si>
  <si>
    <t>Estimated Peak Funding Requirement represents the largest cumulative financial investment generated by the hire under the assumptions entered, before cumulative contribution begins to recover.  It is a planning estimate and not a detailed cash flow forecast: actual cash movement will differ with customer collections, payroll and remittance timing, taxes, working capital and financing.  Operating profit is not cash.  These figures do not show whether the business can or cannot support the hire — they show the projected impact of the assumptions entered.</t>
  </si>
  <si>
    <t>Vertex Strategic Finance  |  FICTIONAL EXAMPLE DATA.  Scenario rates and the delay are user-defined assumptions, not recommendations.  For general information and planning only — not accounting, tax, legal or financial advice.</t>
  </si>
  <si>
    <t>Executive Dashboard</t>
  </si>
  <si>
    <t>Projected impact of the assumptions entered — FICTIONAL EXAMPLE DATA.  This dashboard shows financial impact; it does not recommend a decision.</t>
  </si>
  <si>
    <t>FULLY LOADED ANNUAL COST</t>
  </si>
  <si>
    <t>FIRST-YEAR COST</t>
  </si>
  <si>
    <t>MONTHLY REVENUE REQUIRED</t>
  </si>
  <si>
    <t>Recurring cost, every year</t>
  </si>
  <si>
    <t>Recurring plus one-time costs</t>
  </si>
  <si>
    <t>To cover the recurring cost, at your gross margin</t>
  </si>
  <si>
    <t>EXPECTED MONTHLY REVENUE</t>
  </si>
  <si>
    <t>EXPECTED MONTHLY CONTRIBUTION</t>
  </si>
  <si>
    <t>ESTIMATED PEAK FUNDING REQUIREMENT</t>
  </si>
  <si>
    <t>Additional revenue once fully productive</t>
  </si>
  <si>
    <t>Incremental gross profit less hire cost</t>
  </si>
  <si>
    <t>Largest cumulative investment during ramp-up</t>
  </si>
  <si>
    <t>1.  12-Month Hiring Impact  (Month 1 includes one-time costs)</t>
  </si>
  <si>
    <t>2.  Cumulative Contribution</t>
  </si>
  <si>
    <t>3.  Scenario Comparison — 12-Month Cumulative Contribution</t>
  </si>
  <si>
    <t>4.  Before vs. After — Monthly ($) at Full Productivity</t>
  </si>
  <si>
    <t>HIRING DECISION SNAPSHOT</t>
  </si>
  <si>
    <t>Current Operating Margin</t>
  </si>
  <si>
    <t>Break-Even Monthly Revenue</t>
  </si>
  <si>
    <t>Projected Operating Margin</t>
  </si>
  <si>
    <t>Revenue Above / (Below) Break-Even</t>
  </si>
  <si>
    <t>FINANCIAL PULSE</t>
  </si>
  <si>
    <t>▪</t>
  </si>
  <si>
    <t>Observations above are generated directly from the assumptions entered in this workbook. They are descriptive only and do not constitute accounting, tax, legal, employment, investment, financing or financial advice, and do not indicate whether a hire should or should not be made. All figures shown are FICTIONAL EXAMPLE DATA. Employer payroll burden, gross margin, cash levels and revenue expectations are user-defined inputs, not benchmarks.</t>
  </si>
  <si>
    <t>Vertex Strategic Finance   |   www.vertexstrategicfinance.ca   |   info@vertexstrategicfinance.ca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</si>
</sst>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mmm\ d\,\ yyyy"/>
    <numFmt numFmtId="165" formatCode="\$#,##0;\(\$#,##0\);&quot;-&quot;"/>
    <numFmt numFmtId="166" formatCode="\$#,##0.00;\(\$#,##0.00\);&quot;-&quot;"/>
    <numFmt numFmtId="167" formatCode="0.0&quot; hrs&quot;"/>
    <numFmt numFmtId="168" formatCode="0&quot; weeks&quot;"/>
    <numFmt numFmtId="169" formatCode="0.0%"/>
    <numFmt numFmtId="170" formatCode="0&quot; months&quot;"/>
    <numFmt numFmtId="171" formatCode="mmm\ yyyy"/>
  </numFmts>
  <fonts count="46" x14ac:knownFonts="1">
    <font>
      <sz val="11"/>
      <color theme="1"/>
      <name val="Calibri"/>
      <family val="2"/>
      <charset val="1"/>
    </font>
    <font>
      <b/>
      <sz val="9"/>
      <color rgb="FF8FB8C9"/>
      <name val="Arial"/>
      <charset val="1"/>
    </font>
    <font>
      <b/>
      <sz val="24"/>
      <color rgb="FFFFFFFF"/>
      <name val="Arial"/>
      <charset val="1"/>
    </font>
    <font>
      <sz val="11"/>
      <color rgb="FFC7D9E2"/>
      <name val="Arial"/>
      <charset val="1"/>
    </font>
    <font>
      <b/>
      <sz val="12"/>
      <color rgb="FF083152"/>
      <name val="Arial"/>
      <charset val="1"/>
    </font>
    <font>
      <sz val="10.5"/>
      <color rgb="FF1A1A1A"/>
      <name val="Arial"/>
      <charset val="1"/>
    </font>
    <font>
      <b/>
      <sz val="10.5"/>
      <color rgb="FF23727C"/>
      <name val="Arial"/>
      <charset val="1"/>
    </font>
    <font>
      <i/>
      <sz val="8.5"/>
      <color rgb="FF6B7A85"/>
      <name val="Arial"/>
      <charset val="1"/>
    </font>
    <font>
      <b/>
      <sz val="9"/>
      <color rgb="FF23727C"/>
      <name val="Arial"/>
      <charset val="1"/>
    </font>
    <font>
      <sz val="10.5"/>
      <color rgb="FF083152"/>
      <name val="Arial"/>
      <charset val="1"/>
    </font>
    <font>
      <sz val="10.5"/>
      <color rgb="FF23727C"/>
      <name val="Arial"/>
      <charset val="1"/>
    </font>
    <font>
      <b/>
      <sz val="10"/>
      <color rgb="FF0B4A63"/>
      <name val="Arial"/>
      <charset val="1"/>
    </font>
    <font>
      <b/>
      <sz val="10"/>
      <color rgb="FF083152"/>
      <name val="Arial"/>
      <charset val="1"/>
    </font>
    <font>
      <b/>
      <sz val="9"/>
      <color rgb="FF6B7A85"/>
      <name val="Arial"/>
      <charset val="1"/>
    </font>
    <font>
      <sz val="9.5"/>
      <color rgb="FF6B7A85"/>
      <name val="Arial"/>
      <charset val="1"/>
    </font>
    <font>
      <b/>
      <sz val="13"/>
      <color rgb="FFFFFFFF"/>
      <name val="Arial"/>
      <charset val="1"/>
    </font>
    <font>
      <sz val="10"/>
      <color rgb="FF9FBECF"/>
      <name val="Arial"/>
      <charset val="1"/>
    </font>
    <font>
      <sz val="10"/>
      <color rgb="FF6FB3BC"/>
      <name val="Arial"/>
      <charset val="1"/>
    </font>
    <font>
      <b/>
      <sz val="20"/>
      <color rgb="FFFFFFFF"/>
      <name val="Arial"/>
      <charset val="1"/>
    </font>
    <font>
      <sz val="10"/>
      <color rgb="FFC7D9E2"/>
      <name val="Arial"/>
      <charset val="1"/>
    </font>
    <font>
      <b/>
      <sz val="10.5"/>
      <color rgb="FFFFFFFF"/>
      <name val="Arial"/>
      <charset val="1"/>
    </font>
    <font>
      <b/>
      <sz val="9"/>
      <color rgb="FF083152"/>
      <name val="Arial"/>
      <charset val="1"/>
    </font>
    <font>
      <b/>
      <sz val="10.5"/>
      <color rgb="FF083152"/>
      <name val="Arial"/>
      <charset val="1"/>
    </font>
    <font>
      <sz val="10"/>
      <color rgb="FF0B4A63"/>
      <name val="Arial"/>
      <charset val="1"/>
    </font>
    <font>
      <sz val="9"/>
      <color rgb="FF6B7A85"/>
      <name val="Arial"/>
      <charset val="1"/>
    </font>
    <font>
      <b/>
      <sz val="11"/>
      <color rgb="FF083152"/>
      <name val="Arial"/>
      <charset val="1"/>
    </font>
    <font>
      <sz val="10"/>
      <name val="Arial"/>
      <family val="2"/>
    </font>
    <font>
      <sz val="10"/>
      <color rgb="FF23727C"/>
      <name val="Arial"/>
      <charset val="1"/>
    </font>
    <font>
      <i/>
      <sz val="9.5"/>
      <color rgb="FF6B7A85"/>
      <name val="Arial"/>
      <charset val="1"/>
    </font>
    <font>
      <b/>
      <sz val="8.5"/>
      <color rgb="FF8FB8C9"/>
      <name val="Arial"/>
      <charset val="1"/>
    </font>
    <font>
      <b/>
      <sz val="18"/>
      <color rgb="FFFFFFFF"/>
      <name val="Arial"/>
      <charset val="1"/>
    </font>
    <font>
      <i/>
      <sz val="9"/>
      <color rgb="FF9FBECF"/>
      <name val="Arial"/>
      <charset val="1"/>
    </font>
    <font>
      <sz val="9"/>
      <color rgb="FFC7D9E2"/>
      <name val="Arial"/>
      <charset val="1"/>
    </font>
    <font>
      <b/>
      <sz val="10"/>
      <color rgb="FFFFFFFF"/>
      <name val="Arial"/>
      <charset val="1"/>
    </font>
    <font>
      <b/>
      <sz val="9.5"/>
      <color rgb="FFFFFFFF"/>
      <name val="Arial"/>
      <charset val="1"/>
    </font>
    <font>
      <sz val="8.5"/>
      <color rgb="FFDCEAEC"/>
      <name val="Arial"/>
      <charset val="1"/>
    </font>
    <font>
      <sz val="8"/>
      <color rgb="FFC0C8CE"/>
      <name val="Arial"/>
      <charset val="1"/>
    </font>
    <font>
      <sz val="10"/>
      <color rgb="FF1A1A1A"/>
      <name val="Arial"/>
      <charset val="1"/>
    </font>
    <font>
      <sz val="9.5"/>
      <color rgb="FF1A1A1A"/>
      <name val="Arial"/>
      <charset val="1"/>
    </font>
    <font>
      <sz val="9"/>
      <color rgb="FF23727C"/>
      <name val="Arial"/>
      <charset val="1"/>
    </font>
    <font>
      <i/>
      <sz val="8.5"/>
      <color rgb="FF7FA3B5"/>
      <name val="Arial"/>
      <charset val="1"/>
    </font>
    <font>
      <b/>
      <sz val="8"/>
      <color rgb="FF6B7A85"/>
      <name val="Arial"/>
      <charset val="1"/>
    </font>
    <font>
      <b/>
      <sz val="16"/>
      <color rgb="FF083152"/>
      <name val="Arial"/>
      <charset val="1"/>
    </font>
    <font>
      <sz val="8"/>
      <color rgb="FF6B7A85"/>
      <name val="Arial"/>
      <charset val="1"/>
    </font>
    <font>
      <b/>
      <sz val="9.5"/>
      <color rgb="FF083152"/>
      <name val="Arial"/>
      <charset val="1"/>
    </font>
    <font>
      <sz val="9"/>
      <color rgb="FF1A1A1A"/>
      <name val="Arial"/>
      <charset val="1"/>
    </font>
  </fonts>
  <fills count="6">
    <fill>
      <patternFill patternType="none"/>
    </fill>
    <fill>
      <patternFill patternType="gray125"/>
    </fill>
    <fill>
      <patternFill patternType="solid">
        <fgColor rgb="FF083152"/>
        <bgColor rgb="FF0B4A63"/>
      </patternFill>
    </fill>
    <fill>
      <patternFill patternType="solid">
        <fgColor rgb="FFF4F6F8"/>
        <bgColor rgb="FFEDF4F5"/>
      </patternFill>
    </fill>
    <fill>
      <patternFill patternType="solid">
        <fgColor rgb="FFEDF4F5"/>
        <bgColor rgb="FFF4F6F8"/>
      </patternFill>
    </fill>
    <fill>
      <patternFill patternType="solid">
        <fgColor rgb="FF23727C"/>
        <bgColor rgb="FF008080"/>
      </patternFill>
    </fill>
  </fills>
  <borders count="30">
    <border>
      <left/>
      <right/>
      <top/>
      <bottom/>
      <diagonal/>
    </border>
    <border>
      <left/>
      <right/>
      <top/>
      <bottom style="medium">
        <color rgb="FF23727C"/>
      </bottom>
      <diagonal/>
    </border>
    <border>
      <left style="thick">
        <color rgb="FF23727C"/>
      </left>
      <right style="thin">
        <color rgb="FF23727C"/>
      </right>
      <top style="thin">
        <color rgb="FF23727C"/>
      </top>
      <bottom/>
      <diagonal/>
    </border>
    <border>
      <left style="thick">
        <color rgb="FF23727C"/>
      </left>
      <right style="thin">
        <color rgb="FF23727C"/>
      </right>
      <top/>
      <bottom/>
      <diagonal/>
    </border>
    <border>
      <left style="thick">
        <color rgb="FF23727C"/>
      </left>
      <right/>
      <top/>
      <bottom style="thin">
        <color rgb="FF23727C"/>
      </bottom>
      <diagonal/>
    </border>
    <border>
      <left/>
      <right/>
      <top/>
      <bottom style="thin">
        <color rgb="FF23727C"/>
      </bottom>
      <diagonal/>
    </border>
    <border>
      <left/>
      <right style="thin">
        <color rgb="FF23727C"/>
      </right>
      <top/>
      <bottom style="thin">
        <color rgb="FF23727C"/>
      </bottom>
      <diagonal/>
    </border>
    <border>
      <left style="thin">
        <color rgb="FF23727C"/>
      </left>
      <right style="thin">
        <color rgb="FF23727C"/>
      </right>
      <top style="thin">
        <color rgb="FF23727C"/>
      </top>
      <bottom style="thin">
        <color rgb="FF23727C"/>
      </bottom>
      <diagonal/>
    </border>
    <border>
      <left style="thin">
        <color rgb="FFD6DDE2"/>
      </left>
      <right style="thin">
        <color rgb="FFD6DDE2"/>
      </right>
      <top style="thin">
        <color rgb="FFD6DDE2"/>
      </top>
      <bottom/>
      <diagonal/>
    </border>
    <border>
      <left style="thin">
        <color rgb="FFD6DDE2"/>
      </left>
      <right style="thin">
        <color rgb="FFD6DDE2"/>
      </right>
      <top/>
      <bottom style="thin">
        <color rgb="FFD6DDE2"/>
      </bottom>
      <diagonal/>
    </border>
    <border>
      <left/>
      <right/>
      <top/>
      <bottom style="thin">
        <color rgb="FF083152"/>
      </bottom>
      <diagonal/>
    </border>
    <border>
      <left/>
      <right/>
      <top style="thin">
        <color rgb="FF083152"/>
      </top>
      <bottom/>
      <diagonal/>
    </border>
    <border>
      <left style="thin">
        <color rgb="FF083152"/>
      </left>
      <right/>
      <top style="thin">
        <color rgb="FF083152"/>
      </top>
      <bottom/>
      <diagonal/>
    </border>
    <border>
      <left style="thin">
        <color rgb="FF083152"/>
      </left>
      <right/>
      <top/>
      <bottom style="thin">
        <color rgb="FF083152"/>
      </bottom>
      <diagonal/>
    </border>
    <border>
      <left/>
      <right style="thin">
        <color rgb="FF083152"/>
      </right>
      <top/>
      <bottom style="thin">
        <color rgb="FF083152"/>
      </bottom>
      <diagonal/>
    </border>
    <border>
      <left style="thin">
        <color rgb="FF083152"/>
      </left>
      <right/>
      <top/>
      <bottom style="thin">
        <color rgb="FFD6DDE2"/>
      </bottom>
      <diagonal/>
    </border>
    <border>
      <left/>
      <right style="thin">
        <color rgb="FF083152"/>
      </right>
      <top/>
      <bottom style="thin">
        <color rgb="FFD6DDE2"/>
      </bottom>
      <diagonal/>
    </border>
    <border>
      <left style="thin">
        <color rgb="FF083152"/>
      </left>
      <right/>
      <top/>
      <bottom/>
      <diagonal/>
    </border>
    <border>
      <left/>
      <right style="thin">
        <color rgb="FF083152"/>
      </right>
      <top/>
      <bottom/>
      <diagonal/>
    </border>
    <border>
      <left style="thin">
        <color rgb="FFD6DDE2"/>
      </left>
      <right style="thin">
        <color rgb="FFD6DDE2"/>
      </right>
      <top/>
      <bottom/>
      <diagonal/>
    </border>
    <border>
      <left style="thin">
        <color rgb="FFD6DDE2"/>
      </left>
      <right/>
      <top/>
      <bottom/>
      <diagonal/>
    </border>
    <border>
      <left/>
      <right style="thin">
        <color rgb="FFD6DDE2"/>
      </right>
      <top/>
      <bottom/>
      <diagonal/>
    </border>
    <border>
      <left/>
      <right/>
      <top/>
      <bottom style="thin">
        <color rgb="FFD6DDE2"/>
      </bottom>
      <diagonal/>
    </border>
    <border>
      <left/>
      <right/>
      <top style="thin">
        <color rgb="FF083152"/>
      </top>
      <bottom style="thin">
        <color rgb="FFD6DDE2"/>
      </bottom>
      <diagonal/>
    </border>
    <border>
      <left/>
      <right/>
      <top style="thin">
        <color rgb="FFD6DDE2"/>
      </top>
      <bottom/>
      <diagonal/>
    </border>
    <border>
      <left style="thin">
        <color rgb="FFD6DDE2"/>
      </left>
      <right style="thin">
        <color rgb="FFD6DDE2"/>
      </right>
      <top style="thin">
        <color rgb="FFD6DDE2"/>
      </top>
      <bottom style="thin">
        <color rgb="FFD6DDE2"/>
      </bottom>
      <diagonal/>
    </border>
    <border>
      <left style="thin">
        <color rgb="FFD6DDE2"/>
      </left>
      <right/>
      <top style="thin">
        <color rgb="FFD6DDE2"/>
      </top>
      <bottom/>
      <diagonal/>
    </border>
    <border>
      <left/>
      <right style="thin">
        <color rgb="FFD6DDE2"/>
      </right>
      <top style="thin">
        <color rgb="FFD6DDE2"/>
      </top>
      <bottom/>
      <diagonal/>
    </border>
    <border>
      <left style="thin">
        <color rgb="FFD6DDE2"/>
      </left>
      <right/>
      <top/>
      <bottom style="thin">
        <color rgb="FFD6DDE2"/>
      </bottom>
      <diagonal/>
    </border>
    <border>
      <left/>
      <right style="thin">
        <color rgb="FFD6DDE2"/>
      </right>
      <top/>
      <bottom style="thin">
        <color rgb="FFD6DDE2"/>
      </bottom>
      <diagonal/>
    </border>
  </borders>
  <cellStyleXfs count="1">
    <xf numFmtId="0" fontId="0" fillId="0" borderId="0"/>
  </cellStyleXfs>
  <cellXfs count="138">
    <xf numFmtId="0" fontId="0" fillId="0" borderId="0" xfId="0"/>
    <xf numFmtId="0" fontId="14" fillId="3" borderId="9" xfId="0" applyFont="1" applyFill="1" applyBorder="1" applyAlignment="1">
      <alignment horizontal="left" vertical="top" wrapText="1" indent="1"/>
    </xf>
    <xf numFmtId="0" fontId="13" fillId="3" borderId="8" xfId="0" applyFont="1" applyFill="1" applyBorder="1" applyAlignment="1">
      <alignment horizontal="left" vertical="center" indent="1"/>
    </xf>
    <xf numFmtId="0" fontId="5" fillId="0" borderId="0" xfId="0" applyFont="1" applyAlignment="1">
      <alignment horizontal="left" vertical="center" wrapText="1" indent="1"/>
    </xf>
    <xf numFmtId="0" fontId="12" fillId="0" borderId="0" xfId="0" applyFont="1" applyAlignment="1">
      <alignment horizontal="center" vertical="center"/>
    </xf>
    <xf numFmtId="0" fontId="5" fillId="0" borderId="0" xfId="0" applyFont="1" applyAlignment="1">
      <alignment horizontal="left" vertical="center" indent="1"/>
    </xf>
    <xf numFmtId="0" fontId="11" fillId="4" borderId="7" xfId="0" applyFont="1" applyFill="1" applyBorder="1" applyAlignment="1">
      <alignment horizontal="center" vertical="center"/>
    </xf>
    <xf numFmtId="0" fontId="9" fillId="3" borderId="3" xfId="0" applyFont="1" applyFill="1" applyBorder="1" applyAlignment="1">
      <alignment horizontal="left" vertical="center" wrapText="1" indent="1"/>
    </xf>
    <xf numFmtId="0" fontId="8" fillId="3" borderId="2" xfId="0" applyFont="1" applyFill="1" applyBorder="1" applyAlignment="1">
      <alignment horizontal="left" vertical="center" indent="1"/>
    </xf>
    <xf numFmtId="0" fontId="5" fillId="0" borderId="0" xfId="0" applyFont="1" applyAlignment="1">
      <alignment horizontal="left" vertical="center"/>
    </xf>
    <xf numFmtId="0" fontId="5" fillId="0" borderId="0" xfId="0" applyFont="1" applyAlignment="1">
      <alignment horizontal="left" vertical="center" wrapText="1"/>
    </xf>
    <xf numFmtId="0" fontId="4" fillId="0" borderId="1" xfId="0" applyFont="1" applyBorder="1" applyAlignment="1">
      <alignment horizontal="left"/>
    </xf>
    <xf numFmtId="0" fontId="3" fillId="2" borderId="0" xfId="0" applyFont="1" applyFill="1" applyAlignment="1">
      <alignment horizontal="left" vertical="center" wrapText="1"/>
    </xf>
    <xf numFmtId="0" fontId="2" fillId="2" borderId="0" xfId="0" applyFont="1" applyFill="1" applyAlignment="1">
      <alignment horizontal="left" vertical="center" wrapText="1"/>
    </xf>
    <xf numFmtId="0" fontId="1" fillId="2" borderId="0" xfId="0" applyFont="1" applyFill="1" applyAlignment="1">
      <alignment horizontal="left"/>
    </xf>
    <xf numFmtId="0" fontId="0" fillId="2" borderId="0" xfId="0" applyFill="1"/>
    <xf numFmtId="0" fontId="6" fillId="0" borderId="0" xfId="0" applyFont="1" applyAlignment="1">
      <alignment horizontal="right" vertical="center"/>
    </xf>
    <xf numFmtId="0" fontId="7" fillId="0" borderId="0" xfId="0" applyFont="1" applyAlignment="1">
      <alignment horizontal="right" vertical="center"/>
    </xf>
    <xf numFmtId="0" fontId="0" fillId="3" borderId="4" xfId="0" applyFill="1" applyBorder="1"/>
    <xf numFmtId="0" fontId="0" fillId="3" borderId="5" xfId="0" applyFill="1" applyBorder="1"/>
    <xf numFmtId="0" fontId="0" fillId="3" borderId="6" xfId="0" applyFill="1" applyBorder="1"/>
    <xf numFmtId="0" fontId="10" fillId="0" borderId="0" xfId="0" applyFont="1" applyAlignment="1">
      <alignment horizontal="right" vertical="center"/>
    </xf>
    <xf numFmtId="0" fontId="21" fillId="0" borderId="10" xfId="0" applyFont="1" applyBorder="1" applyAlignment="1">
      <alignment horizontal="left" vertical="center" indent="1"/>
    </xf>
    <xf numFmtId="0" fontId="21" fillId="0" borderId="10" xfId="0" applyFont="1" applyBorder="1" applyAlignment="1">
      <alignment horizontal="right" vertical="center"/>
    </xf>
    <xf numFmtId="0" fontId="22" fillId="0" borderId="0" xfId="0" applyFont="1" applyAlignment="1">
      <alignment horizontal="left" vertical="center" indent="1"/>
    </xf>
    <xf numFmtId="0" fontId="23" fillId="4" borderId="7" xfId="0" applyFont="1" applyFill="1" applyBorder="1" applyAlignment="1" applyProtection="1">
      <alignment horizontal="left" vertical="center"/>
      <protection locked="0"/>
    </xf>
    <xf numFmtId="0" fontId="24" fillId="0" borderId="0" xfId="0" applyFont="1" applyAlignment="1">
      <alignment horizontal="left" vertical="center" wrapText="1"/>
    </xf>
    <xf numFmtId="164" fontId="23" fillId="4" borderId="7" xfId="0" applyNumberFormat="1" applyFont="1" applyFill="1" applyBorder="1" applyAlignment="1" applyProtection="1">
      <alignment horizontal="right" vertical="center"/>
      <protection locked="0"/>
    </xf>
    <xf numFmtId="165" fontId="23" fillId="4" borderId="7" xfId="0" applyNumberFormat="1" applyFont="1" applyFill="1" applyBorder="1" applyAlignment="1" applyProtection="1">
      <alignment horizontal="right" vertical="center"/>
      <protection locked="0"/>
    </xf>
    <xf numFmtId="166" fontId="23" fillId="4" borderId="7" xfId="0" applyNumberFormat="1" applyFont="1" applyFill="1" applyBorder="1" applyAlignment="1" applyProtection="1">
      <alignment horizontal="right" vertical="center"/>
      <protection locked="0"/>
    </xf>
    <xf numFmtId="167" fontId="23" fillId="4" borderId="7" xfId="0" applyNumberFormat="1" applyFont="1" applyFill="1" applyBorder="1" applyAlignment="1" applyProtection="1">
      <alignment horizontal="right" vertical="center"/>
      <protection locked="0"/>
    </xf>
    <xf numFmtId="168" fontId="23" fillId="4" borderId="7" xfId="0" applyNumberFormat="1" applyFont="1" applyFill="1" applyBorder="1" applyAlignment="1" applyProtection="1">
      <alignment horizontal="right" vertical="center"/>
      <protection locked="0"/>
    </xf>
    <xf numFmtId="0" fontId="22" fillId="0" borderId="11" xfId="0" applyFont="1" applyBorder="1" applyAlignment="1">
      <alignment horizontal="left" vertical="center" indent="1"/>
    </xf>
    <xf numFmtId="165" fontId="22" fillId="0" borderId="11" xfId="0" applyNumberFormat="1" applyFont="1" applyBorder="1" applyAlignment="1">
      <alignment horizontal="right" vertical="center"/>
    </xf>
    <xf numFmtId="0" fontId="22" fillId="3" borderId="0" xfId="0" applyFont="1" applyFill="1" applyAlignment="1">
      <alignment horizontal="left" vertical="center" indent="1"/>
    </xf>
    <xf numFmtId="165" fontId="25" fillId="3" borderId="0" xfId="0" applyNumberFormat="1" applyFont="1" applyFill="1" applyAlignment="1">
      <alignment horizontal="right" vertical="center"/>
    </xf>
    <xf numFmtId="9" fontId="23" fillId="4" borderId="7" xfId="0" applyNumberFormat="1" applyFont="1" applyFill="1" applyBorder="1" applyAlignment="1" applyProtection="1">
      <alignment horizontal="right" vertical="center"/>
      <protection locked="0"/>
    </xf>
    <xf numFmtId="0" fontId="21" fillId="0" borderId="13" xfId="0" applyFont="1" applyBorder="1" applyAlignment="1">
      <alignment horizontal="left" vertical="center" indent="1"/>
    </xf>
    <xf numFmtId="0" fontId="21" fillId="0" borderId="14" xfId="0" applyFont="1" applyBorder="1" applyAlignment="1">
      <alignment horizontal="right" vertical="center"/>
    </xf>
    <xf numFmtId="0" fontId="5" fillId="0" borderId="15" xfId="0" applyFont="1" applyBorder="1" applyAlignment="1">
      <alignment horizontal="left" vertical="center" indent="2"/>
    </xf>
    <xf numFmtId="165" fontId="5" fillId="0" borderId="16" xfId="0" applyNumberFormat="1" applyFont="1" applyBorder="1" applyAlignment="1">
      <alignment horizontal="right" vertical="center"/>
    </xf>
    <xf numFmtId="0" fontId="20" fillId="5" borderId="17" xfId="0" applyFont="1" applyFill="1" applyBorder="1" applyAlignment="1">
      <alignment horizontal="left" vertical="center" indent="1"/>
    </xf>
    <xf numFmtId="165" fontId="20" fillId="5" borderId="18" xfId="0" applyNumberFormat="1" applyFont="1" applyFill="1" applyBorder="1" applyAlignment="1">
      <alignment horizontal="right" vertical="center"/>
    </xf>
    <xf numFmtId="0" fontId="22" fillId="3" borderId="17" xfId="0" applyFont="1" applyFill="1" applyBorder="1" applyAlignment="1">
      <alignment horizontal="left" vertical="center" indent="1"/>
    </xf>
    <xf numFmtId="165" fontId="25" fillId="3" borderId="18" xfId="0" applyNumberFormat="1" applyFont="1" applyFill="1" applyBorder="1" applyAlignment="1">
      <alignment horizontal="right" vertical="center"/>
    </xf>
    <xf numFmtId="0" fontId="5" fillId="0" borderId="17" xfId="0" applyFont="1" applyBorder="1" applyAlignment="1">
      <alignment horizontal="left" vertical="center" indent="2"/>
    </xf>
    <xf numFmtId="165" fontId="5" fillId="0" borderId="18" xfId="0" applyNumberFormat="1" applyFont="1" applyBorder="1" applyAlignment="1">
      <alignment horizontal="right" vertical="center"/>
    </xf>
    <xf numFmtId="0" fontId="20" fillId="5" borderId="13" xfId="0" applyFont="1" applyFill="1" applyBorder="1" applyAlignment="1">
      <alignment horizontal="left" vertical="center" indent="1"/>
    </xf>
    <xf numFmtId="165" fontId="20" fillId="5" borderId="14" xfId="0" applyNumberFormat="1" applyFont="1" applyFill="1" applyBorder="1" applyAlignment="1">
      <alignment horizontal="right" vertical="center"/>
    </xf>
    <xf numFmtId="165" fontId="22" fillId="3" borderId="0" xfId="0" applyNumberFormat="1" applyFont="1" applyFill="1" applyAlignment="1">
      <alignment horizontal="right" vertical="center"/>
    </xf>
    <xf numFmtId="169" fontId="22" fillId="0" borderId="11" xfId="0" applyNumberFormat="1" applyFont="1" applyBorder="1" applyAlignment="1">
      <alignment horizontal="right" vertical="center"/>
    </xf>
    <xf numFmtId="170" fontId="23" fillId="4" borderId="7" xfId="0" applyNumberFormat="1" applyFont="1" applyFill="1" applyBorder="1" applyAlignment="1" applyProtection="1">
      <alignment horizontal="right" vertical="center"/>
      <protection locked="0"/>
    </xf>
    <xf numFmtId="0" fontId="0" fillId="0" borderId="20" xfId="0" applyBorder="1"/>
    <xf numFmtId="0" fontId="0" fillId="0" borderId="21" xfId="0" applyBorder="1"/>
    <xf numFmtId="0" fontId="5" fillId="0" borderId="22" xfId="0" applyFont="1" applyBorder="1" applyAlignment="1">
      <alignment horizontal="left" vertical="center" indent="1"/>
    </xf>
    <xf numFmtId="165" fontId="9" fillId="0" borderId="22" xfId="0" applyNumberFormat="1" applyFont="1" applyBorder="1" applyAlignment="1">
      <alignment horizontal="right" vertical="center"/>
    </xf>
    <xf numFmtId="0" fontId="22" fillId="3" borderId="22" xfId="0" applyFont="1" applyFill="1" applyBorder="1" applyAlignment="1">
      <alignment horizontal="left" vertical="center" indent="1"/>
    </xf>
    <xf numFmtId="165" fontId="25" fillId="3" borderId="22" xfId="0" applyNumberFormat="1" applyFont="1" applyFill="1" applyBorder="1" applyAlignment="1">
      <alignment horizontal="right" vertical="center"/>
    </xf>
    <xf numFmtId="169" fontId="9" fillId="0" borderId="22" xfId="0" applyNumberFormat="1" applyFont="1" applyBorder="1" applyAlignment="1">
      <alignment horizontal="right" vertical="center"/>
    </xf>
    <xf numFmtId="0" fontId="22" fillId="3" borderId="23" xfId="0" applyFont="1" applyFill="1" applyBorder="1" applyAlignment="1">
      <alignment horizontal="left" vertical="center" indent="1"/>
    </xf>
    <xf numFmtId="165" fontId="25" fillId="3" borderId="23" xfId="0" applyNumberFormat="1" applyFont="1" applyFill="1" applyBorder="1" applyAlignment="1">
      <alignment horizontal="right" vertical="center"/>
    </xf>
    <xf numFmtId="165" fontId="10" fillId="0" borderId="22" xfId="0" applyNumberFormat="1" applyFont="1" applyBorder="1" applyAlignment="1">
      <alignment horizontal="right" vertical="center"/>
    </xf>
    <xf numFmtId="165" fontId="22" fillId="3" borderId="23" xfId="0" applyNumberFormat="1" applyFont="1" applyFill="1" applyBorder="1" applyAlignment="1">
      <alignment horizontal="right" vertical="center"/>
    </xf>
    <xf numFmtId="165" fontId="6" fillId="3" borderId="23" xfId="0" applyNumberFormat="1" applyFont="1" applyFill="1" applyBorder="1" applyAlignment="1">
      <alignment horizontal="right" vertical="center"/>
    </xf>
    <xf numFmtId="169" fontId="22" fillId="3" borderId="22" xfId="0" applyNumberFormat="1" applyFont="1" applyFill="1" applyBorder="1" applyAlignment="1">
      <alignment horizontal="right" vertical="center"/>
    </xf>
    <xf numFmtId="169" fontId="6" fillId="3" borderId="22" xfId="0" applyNumberFormat="1" applyFont="1" applyFill="1" applyBorder="1" applyAlignment="1">
      <alignment horizontal="right" vertical="center"/>
    </xf>
    <xf numFmtId="0" fontId="25" fillId="3" borderId="0" xfId="0" applyFont="1" applyFill="1" applyAlignment="1">
      <alignment horizontal="right" vertical="center"/>
    </xf>
    <xf numFmtId="0" fontId="33" fillId="5" borderId="0" xfId="0" applyFont="1" applyFill="1" applyAlignment="1">
      <alignment horizontal="left" vertical="center" indent="1"/>
    </xf>
    <xf numFmtId="0" fontId="34" fillId="5" borderId="0" xfId="0" applyFont="1" applyFill="1" applyAlignment="1">
      <alignment horizontal="center" vertical="center"/>
    </xf>
    <xf numFmtId="0" fontId="32" fillId="5" borderId="0" xfId="0" applyFont="1" applyFill="1" applyAlignment="1">
      <alignment horizontal="left" vertical="center" indent="1"/>
    </xf>
    <xf numFmtId="171" fontId="35" fillId="5" borderId="0" xfId="0" applyNumberFormat="1" applyFont="1" applyFill="1" applyAlignment="1">
      <alignment horizontal="center" vertical="center"/>
    </xf>
    <xf numFmtId="0" fontId="36" fillId="0" borderId="0" xfId="0" applyFont="1" applyAlignment="1">
      <alignment horizontal="left" vertical="center" indent="1"/>
    </xf>
    <xf numFmtId="0" fontId="36" fillId="0" borderId="0" xfId="0" applyFont="1" applyAlignment="1">
      <alignment horizontal="center" vertical="center"/>
    </xf>
    <xf numFmtId="0" fontId="37" fillId="0" borderId="0" xfId="0" applyFont="1" applyAlignment="1">
      <alignment horizontal="left" vertical="center" indent="2"/>
    </xf>
    <xf numFmtId="9" fontId="38" fillId="0" borderId="0" xfId="0" applyNumberFormat="1" applyFont="1" applyAlignment="1">
      <alignment horizontal="right" vertical="center"/>
    </xf>
    <xf numFmtId="165" fontId="38" fillId="0" borderId="0" xfId="0" applyNumberFormat="1" applyFont="1" applyAlignment="1">
      <alignment horizontal="right" vertical="center"/>
    </xf>
    <xf numFmtId="0" fontId="37" fillId="0" borderId="24" xfId="0" applyFont="1" applyBorder="1" applyAlignment="1">
      <alignment horizontal="left" vertical="center" indent="2"/>
    </xf>
    <xf numFmtId="165" fontId="38" fillId="0" borderId="24" xfId="0" applyNumberFormat="1" applyFont="1" applyBorder="1" applyAlignment="1">
      <alignment horizontal="right" vertical="center"/>
    </xf>
    <xf numFmtId="0" fontId="12" fillId="0" borderId="11" xfId="0" applyFont="1" applyBorder="1" applyAlignment="1">
      <alignment horizontal="left" vertical="center" indent="2"/>
    </xf>
    <xf numFmtId="165" fontId="12" fillId="0" borderId="11" xfId="0" applyNumberFormat="1" applyFont="1" applyBorder="1" applyAlignment="1">
      <alignment horizontal="right" vertical="center"/>
    </xf>
    <xf numFmtId="0" fontId="12" fillId="3" borderId="0" xfId="0" applyFont="1" applyFill="1" applyAlignment="1">
      <alignment horizontal="left" vertical="center" indent="2"/>
    </xf>
    <xf numFmtId="165" fontId="12" fillId="3" borderId="0" xfId="0" applyNumberFormat="1" applyFont="1" applyFill="1" applyAlignment="1">
      <alignment horizontal="right" vertical="center"/>
    </xf>
    <xf numFmtId="9" fontId="9" fillId="0" borderId="22" xfId="0" applyNumberFormat="1" applyFont="1" applyBorder="1" applyAlignment="1">
      <alignment horizontal="right" vertical="center"/>
    </xf>
    <xf numFmtId="0" fontId="5" fillId="0" borderId="0" xfId="0" applyFont="1" applyAlignment="1">
      <alignment horizontal="left" vertical="center" indent="2"/>
    </xf>
    <xf numFmtId="0" fontId="22" fillId="3" borderId="0" xfId="0" applyFont="1" applyFill="1" applyAlignment="1">
      <alignment horizontal="left" vertical="center" indent="2"/>
    </xf>
    <xf numFmtId="165" fontId="22" fillId="3" borderId="22" xfId="0" applyNumberFormat="1" applyFont="1" applyFill="1" applyBorder="1" applyAlignment="1">
      <alignment horizontal="right" vertical="center"/>
    </xf>
    <xf numFmtId="165" fontId="6" fillId="3" borderId="22" xfId="0" applyNumberFormat="1" applyFont="1" applyFill="1" applyBorder="1" applyAlignment="1">
      <alignment horizontal="right" vertical="center"/>
    </xf>
    <xf numFmtId="0" fontId="0" fillId="2" borderId="26" xfId="0" applyFill="1" applyBorder="1"/>
    <xf numFmtId="0" fontId="0" fillId="2" borderId="24" xfId="0" applyFill="1" applyBorder="1"/>
    <xf numFmtId="0" fontId="0" fillId="2" borderId="27" xfId="0" applyFill="1" applyBorder="1"/>
    <xf numFmtId="0" fontId="0" fillId="5" borderId="26" xfId="0" applyFill="1" applyBorder="1"/>
    <xf numFmtId="0" fontId="0" fillId="5" borderId="24" xfId="0" applyFill="1" applyBorder="1"/>
    <xf numFmtId="0" fontId="0" fillId="5" borderId="27" xfId="0" applyFill="1" applyBorder="1"/>
    <xf numFmtId="0" fontId="0" fillId="0" borderId="22" xfId="0" applyBorder="1"/>
    <xf numFmtId="0" fontId="0" fillId="0" borderId="29" xfId="0" applyBorder="1"/>
    <xf numFmtId="0" fontId="39" fillId="3" borderId="20" xfId="0" applyFont="1" applyFill="1" applyBorder="1" applyAlignment="1">
      <alignment horizontal="right" vertical="center"/>
    </xf>
    <xf numFmtId="0" fontId="39" fillId="0" borderId="20" xfId="0" applyFont="1" applyBorder="1" applyAlignment="1">
      <alignment horizontal="right" vertical="center"/>
    </xf>
    <xf numFmtId="0" fontId="39" fillId="0" borderId="28" xfId="0" applyFont="1" applyBorder="1" applyAlignment="1">
      <alignment horizontal="right" vertical="center"/>
    </xf>
    <xf numFmtId="0" fontId="15" fillId="2" borderId="0" xfId="0" applyFont="1" applyFill="1" applyAlignment="1">
      <alignment horizontal="center" vertical="center" wrapText="1"/>
    </xf>
    <xf numFmtId="0" fontId="16" fillId="2" borderId="0" xfId="0" applyFont="1" applyFill="1" applyAlignment="1">
      <alignment horizontal="center" vertical="center" wrapText="1"/>
    </xf>
    <xf numFmtId="0" fontId="17" fillId="2" borderId="0" xfId="0" applyFont="1" applyFill="1" applyAlignment="1">
      <alignment horizontal="center" vertical="center" wrapText="1"/>
    </xf>
    <xf numFmtId="0" fontId="18" fillId="2" borderId="0" xfId="0" applyFont="1" applyFill="1" applyAlignment="1">
      <alignment horizontal="left" vertical="center"/>
    </xf>
    <xf numFmtId="0" fontId="19" fillId="2" borderId="0" xfId="0" applyFont="1" applyFill="1" applyAlignment="1">
      <alignment horizontal="left" vertical="center"/>
    </xf>
    <xf numFmtId="0" fontId="20" fillId="5" borderId="0" xfId="0" applyFont="1" applyFill="1" applyAlignment="1">
      <alignment horizontal="left" vertical="center" indent="1"/>
    </xf>
    <xf numFmtId="0" fontId="20" fillId="2" borderId="12" xfId="0" applyFont="1" applyFill="1" applyBorder="1" applyAlignment="1">
      <alignment horizontal="left" vertical="center" indent="1"/>
    </xf>
    <xf numFmtId="0" fontId="7" fillId="0" borderId="0" xfId="0" applyFont="1" applyAlignment="1">
      <alignment horizontal="left" vertical="center" wrapText="1" indent="1"/>
    </xf>
    <xf numFmtId="0" fontId="27" fillId="0" borderId="0" xfId="0" applyFont="1" applyAlignment="1">
      <alignment horizontal="left" vertical="center" indent="1"/>
    </xf>
    <xf numFmtId="0" fontId="20" fillId="5" borderId="8" xfId="0" applyFont="1" applyFill="1" applyBorder="1" applyAlignment="1">
      <alignment horizontal="left" vertical="center" indent="1"/>
    </xf>
    <xf numFmtId="0" fontId="14" fillId="0" borderId="19" xfId="0" applyFont="1" applyBorder="1" applyAlignment="1">
      <alignment horizontal="left" vertical="top" wrapText="1" indent="1"/>
    </xf>
    <xf numFmtId="0" fontId="28" fillId="0" borderId="9" xfId="0" applyFont="1" applyBorder="1" applyAlignment="1">
      <alignment horizontal="left" vertical="top" wrapText="1" indent="1"/>
    </xf>
    <xf numFmtId="0" fontId="7" fillId="0" borderId="0" xfId="0" applyFont="1" applyAlignment="1">
      <alignment horizontal="left" vertical="center" indent="1"/>
    </xf>
    <xf numFmtId="0" fontId="29" fillId="2" borderId="0" xfId="0" applyFont="1" applyFill="1" applyAlignment="1">
      <alignment horizontal="left" vertical="center" indent="1"/>
    </xf>
    <xf numFmtId="0" fontId="30" fillId="2" borderId="0" xfId="0" applyFont="1" applyFill="1" applyAlignment="1">
      <alignment horizontal="left" vertical="center" indent="1"/>
    </xf>
    <xf numFmtId="0" fontId="31" fillId="2" borderId="0" xfId="0" applyFont="1" applyFill="1" applyAlignment="1">
      <alignment horizontal="right" vertical="center" indent="1"/>
    </xf>
    <xf numFmtId="0" fontId="32" fillId="2" borderId="0" xfId="0" applyFont="1" applyFill="1" applyAlignment="1">
      <alignment horizontal="left" vertical="center" indent="1"/>
    </xf>
    <xf numFmtId="0" fontId="33" fillId="2" borderId="0" xfId="0" applyFont="1" applyFill="1" applyAlignment="1">
      <alignment horizontal="left" vertical="center" indent="1"/>
    </xf>
    <xf numFmtId="0" fontId="21" fillId="0" borderId="10" xfId="0" applyFont="1" applyBorder="1" applyAlignment="1">
      <alignment horizontal="left" vertical="center" indent="1"/>
    </xf>
    <xf numFmtId="0" fontId="24" fillId="0" borderId="0" xfId="0" applyFont="1" applyAlignment="1">
      <alignment horizontal="left" vertical="center" wrapText="1" indent="1"/>
    </xf>
    <xf numFmtId="0" fontId="39" fillId="3" borderId="25" xfId="0" applyFont="1" applyFill="1" applyBorder="1" applyAlignment="1">
      <alignment horizontal="left" vertical="top" wrapText="1" indent="1"/>
    </xf>
    <xf numFmtId="0" fontId="24" fillId="0" borderId="0" xfId="0" applyFont="1" applyAlignment="1">
      <alignment horizontal="left" vertical="top" wrapText="1" indent="1"/>
    </xf>
    <xf numFmtId="0" fontId="29" fillId="2" borderId="0" xfId="0" applyFont="1" applyFill="1" applyAlignment="1">
      <alignment horizontal="left"/>
    </xf>
    <xf numFmtId="0" fontId="16" fillId="2" borderId="0" xfId="0" applyFont="1" applyFill="1" applyAlignment="1">
      <alignment horizontal="right" vertical="center"/>
    </xf>
    <xf numFmtId="0" fontId="40" fillId="2" borderId="0" xfId="0" applyFont="1" applyFill="1" applyAlignment="1">
      <alignment horizontal="left" vertical="center"/>
    </xf>
    <xf numFmtId="0" fontId="41" fillId="3" borderId="19" xfId="0" applyFont="1" applyFill="1" applyBorder="1" applyAlignment="1">
      <alignment horizontal="left" vertical="center" indent="1"/>
    </xf>
    <xf numFmtId="165" fontId="42" fillId="3" borderId="19" xfId="0" applyNumberFormat="1" applyFont="1" applyFill="1" applyBorder="1" applyAlignment="1">
      <alignment horizontal="left" vertical="center" indent="1"/>
    </xf>
    <xf numFmtId="0" fontId="43" fillId="3" borderId="9" xfId="0" applyFont="1" applyFill="1" applyBorder="1" applyAlignment="1">
      <alignment horizontal="left" vertical="center" indent="1"/>
    </xf>
    <xf numFmtId="0" fontId="44" fillId="0" borderId="1" xfId="0" applyFont="1" applyBorder="1" applyAlignment="1">
      <alignment horizontal="left" vertical="center"/>
    </xf>
    <xf numFmtId="0" fontId="20" fillId="2" borderId="8" xfId="0" applyFont="1" applyFill="1" applyBorder="1" applyAlignment="1">
      <alignment horizontal="left" vertical="center" indent="1"/>
    </xf>
    <xf numFmtId="0" fontId="38" fillId="0" borderId="28" xfId="0" applyFont="1" applyBorder="1" applyAlignment="1">
      <alignment horizontal="left" vertical="center" indent="1"/>
    </xf>
    <xf numFmtId="165" fontId="12" fillId="0" borderId="22" xfId="0" applyNumberFormat="1" applyFont="1" applyBorder="1" applyAlignment="1">
      <alignment horizontal="right" vertical="center" indent="1"/>
    </xf>
    <xf numFmtId="0" fontId="38" fillId="0" borderId="22" xfId="0" applyFont="1" applyBorder="1" applyAlignment="1">
      <alignment horizontal="left" vertical="center" indent="1"/>
    </xf>
    <xf numFmtId="169" fontId="12" fillId="0" borderId="29" xfId="0" applyNumberFormat="1" applyFont="1" applyBorder="1" applyAlignment="1">
      <alignment horizontal="right" vertical="center" indent="1"/>
    </xf>
    <xf numFmtId="165" fontId="12" fillId="0" borderId="29" xfId="0" applyNumberFormat="1" applyFont="1" applyBorder="1" applyAlignment="1">
      <alignment horizontal="right" vertical="center" indent="1"/>
    </xf>
    <xf numFmtId="0" fontId="45" fillId="3" borderId="21" xfId="0" applyFont="1" applyFill="1" applyBorder="1" applyAlignment="1">
      <alignment horizontal="left" vertical="center"/>
    </xf>
    <xf numFmtId="0" fontId="45" fillId="0" borderId="21" xfId="0" applyFont="1" applyBorder="1" applyAlignment="1">
      <alignment horizontal="left" vertical="center"/>
    </xf>
    <xf numFmtId="0" fontId="45" fillId="0" borderId="29" xfId="0" applyFont="1" applyBorder="1" applyAlignment="1">
      <alignment horizontal="left" vertical="center"/>
    </xf>
    <xf numFmtId="0" fontId="7" fillId="0" borderId="0" xfId="0" applyFont="1" applyAlignment="1">
      <alignment horizontal="left" vertical="center" wrapText="1"/>
    </xf>
    <xf numFmtId="0" fontId="21" fillId="0" borderId="0" xfId="0" applyFont="1" applyAlignment="1">
      <alignment horizontal="center" vertic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23727C"/>
      <rgbColor rgb="FFC0C8CE"/>
      <rgbColor rgb="FF878787"/>
      <rgbColor rgb="FF8FB8C9"/>
      <rgbColor rgb="FF993366"/>
      <rgbColor rgb="FFF4F6F8"/>
      <rgbColor rgb="FFDCEAEC"/>
      <rgbColor rgb="FF660066"/>
      <rgbColor rgb="FFFF8080"/>
      <rgbColor rgb="FF0066CC"/>
      <rgbColor rgb="FFC7D9E2"/>
      <rgbColor rgb="FF000080"/>
      <rgbColor rgb="FFFF00FF"/>
      <rgbColor rgb="FFFFFF00"/>
      <rgbColor rgb="FF00FFFF"/>
      <rgbColor rgb="FF800080"/>
      <rgbColor rgb="FF800000"/>
      <rgbColor rgb="FF008080"/>
      <rgbColor rgb="FF0000FF"/>
      <rgbColor rgb="FF00CCFF"/>
      <rgbColor rgb="FFEDF4F5"/>
      <rgbColor rgb="FFD6DDE2"/>
      <rgbColor rgb="FFFFFF99"/>
      <rgbColor rgb="FF9FBECF"/>
      <rgbColor rgb="FFFF99CC"/>
      <rgbColor rgb="FF7FB1B8"/>
      <rgbColor rgb="FFD9D9D9"/>
      <rgbColor rgb="FF3366FF"/>
      <rgbColor rgb="FF6FB3BC"/>
      <rgbColor rgb="FF99CC00"/>
      <rgbColor rgb="FFFFCC00"/>
      <rgbColor rgb="FFFF9900"/>
      <rgbColor rgb="FFFF6600"/>
      <rgbColor rgb="FF6B7A85"/>
      <rgbColor rgb="FF7FA3B5"/>
      <rgbColor rgb="FF083152"/>
      <rgbColor rgb="FF339966"/>
      <rgbColor rgb="FF003300"/>
      <rgbColor rgb="FF333300"/>
      <rgbColor rgb="FF993300"/>
      <rgbColor rgb="FF993366"/>
      <rgbColor rgb="FF0B4A63"/>
      <rgbColor rgb="FF1A1A1A"/>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Cumulative Financial Contribution — First 12 Months</a:t>
            </a:r>
          </a:p>
        </c:rich>
      </c:tx>
      <c:overlay val="0"/>
      <c:spPr>
        <a:noFill/>
        <a:ln w="0">
          <a:noFill/>
        </a:ln>
      </c:spPr>
    </c:title>
    <c:autoTitleDeleted val="0"/>
    <c:plotArea>
      <c:layout/>
      <c:lineChart>
        <c:grouping val="standard"/>
        <c:varyColors val="0"/>
        <c:ser>
          <c:idx val="0"/>
          <c:order val="0"/>
          <c:tx>
            <c:v>Downside</c:v>
          </c:tx>
          <c:spPr>
            <a:ln w="21960">
              <a:solidFill>
                <a:srgbClr val="7FB1B8"/>
              </a:solidFill>
              <a:prstDash val="dash"/>
              <a:round/>
            </a:ln>
          </c:spPr>
          <c:marker>
            <c:symbol val="triangle"/>
            <c:size val="5"/>
            <c:spPr>
              <a:solidFill>
                <a:srgbClr val="7FB1B8"/>
              </a:solidFill>
            </c:spPr>
          </c:marker>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'SCENARIO ANALYSIS'!$C$29:$N$29</c:f>
              <c:strCache>
                <c:ptCount val="12"/>
                <c:pt idx="0">
                  <c:v>Month 1</c:v>
                </c:pt>
                <c:pt idx="1">
                  <c:v>Month 2</c:v>
                </c:pt>
                <c:pt idx="2">
                  <c:v>Month 3</c:v>
                </c:pt>
                <c:pt idx="3">
                  <c:v>Month 4</c:v>
                </c:pt>
                <c:pt idx="4">
                  <c:v>Month 5</c:v>
                </c:pt>
                <c:pt idx="5">
                  <c:v>Month 6</c:v>
                </c:pt>
                <c:pt idx="6">
                  <c:v>Month 7</c:v>
                </c:pt>
                <c:pt idx="7">
                  <c:v>Month 8</c:v>
                </c:pt>
                <c:pt idx="8">
                  <c:v>Month 9</c:v>
                </c:pt>
                <c:pt idx="9">
                  <c:v>Month 10</c:v>
                </c:pt>
                <c:pt idx="10">
                  <c:v>Month 11</c:v>
                </c:pt>
                <c:pt idx="11">
                  <c:v>Month 12</c:v>
                </c:pt>
              </c:strCache>
            </c:strRef>
          </c:cat>
          <c:val>
            <c:numRef>
              <c:f>'SCENARIO ANALYSIS'!$C$32:$N$32</c:f>
              <c:numCache>
                <c:formatCode>\$#,##0;\(\$#,##0\);"-"</c:formatCode>
                <c:ptCount val="12"/>
                <c:pt idx="0">
                  <c:v>-21265.833333333336</c:v>
                </c:pt>
                <c:pt idx="1">
                  <c:v>-25914.166666666672</c:v>
                </c:pt>
                <c:pt idx="2">
                  <c:v>-28445.000000000007</c:v>
                </c:pt>
                <c:pt idx="3">
                  <c:v>-28858.333333333343</c:v>
                </c:pt>
                <c:pt idx="4">
                  <c:v>-29271.666666666679</c:v>
                </c:pt>
                <c:pt idx="5">
                  <c:v>-29685.000000000015</c:v>
                </c:pt>
                <c:pt idx="6">
                  <c:v>-30098.33333333335</c:v>
                </c:pt>
                <c:pt idx="7">
                  <c:v>-30511.666666666686</c:v>
                </c:pt>
                <c:pt idx="8">
                  <c:v>-30925.000000000022</c:v>
                </c:pt>
                <c:pt idx="9">
                  <c:v>-31338.333333333358</c:v>
                </c:pt>
                <c:pt idx="10">
                  <c:v>-31751.666666666693</c:v>
                </c:pt>
                <c:pt idx="11">
                  <c:v>-32165.000000000029</c:v>
                </c:pt>
              </c:numCache>
            </c:numRef>
          </c:val>
          <c:smooth val="0"/>
          <c:extLst>
            <c:ext xmlns:c16="http://schemas.microsoft.com/office/drawing/2014/chart" uri="{C3380CC4-5D6E-409C-BE32-E72D297353CC}">
              <c16:uniqueId val="{00000000-1ACF-4B3E-8AF1-ECA744CAF344}"/>
            </c:ext>
          </c:extLst>
        </c:ser>
        <c:ser>
          <c:idx val="1"/>
          <c:order val="1"/>
          <c:tx>
            <c:v>Base</c:v>
          </c:tx>
          <c:spPr>
            <a:ln w="21960">
              <a:solidFill>
                <a:srgbClr val="083152"/>
              </a:solidFill>
              <a:round/>
            </a:ln>
          </c:spPr>
          <c:marker>
            <c:symbol val="circle"/>
            <c:size val="5"/>
            <c:spPr>
              <a:solidFill>
                <a:srgbClr val="083152"/>
              </a:solidFill>
            </c:spPr>
          </c:marker>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'SCENARIO ANALYSIS'!$C$29:$N$29</c:f>
              <c:strCache>
                <c:ptCount val="12"/>
                <c:pt idx="0">
                  <c:v>Month 1</c:v>
                </c:pt>
                <c:pt idx="1">
                  <c:v>Month 2</c:v>
                </c:pt>
                <c:pt idx="2">
                  <c:v>Month 3</c:v>
                </c:pt>
                <c:pt idx="3">
                  <c:v>Month 4</c:v>
                </c:pt>
                <c:pt idx="4">
                  <c:v>Month 5</c:v>
                </c:pt>
                <c:pt idx="5">
                  <c:v>Month 6</c:v>
                </c:pt>
                <c:pt idx="6">
                  <c:v>Month 7</c:v>
                </c:pt>
                <c:pt idx="7">
                  <c:v>Month 8</c:v>
                </c:pt>
                <c:pt idx="8">
                  <c:v>Month 9</c:v>
                </c:pt>
                <c:pt idx="9">
                  <c:v>Month 10</c:v>
                </c:pt>
                <c:pt idx="10">
                  <c:v>Month 11</c:v>
                </c:pt>
                <c:pt idx="11">
                  <c:v>Month 12</c:v>
                </c:pt>
              </c:strCache>
            </c:strRef>
          </c:cat>
          <c:val>
            <c:numRef>
              <c:f>'SCENARIO ANALYSIS'!$C$34:$N$34</c:f>
              <c:numCache>
                <c:formatCode>\$#,##0;\(\$#,##0\);"-"</c:formatCode>
                <c:ptCount val="12"/>
                <c:pt idx="0">
                  <c:v>-20358.333333333336</c:v>
                </c:pt>
                <c:pt idx="1">
                  <c:v>-23191.666666666668</c:v>
                </c:pt>
                <c:pt idx="2">
                  <c:v>-23000</c:v>
                </c:pt>
                <c:pt idx="3">
                  <c:v>-19783.333333333332</c:v>
                </c:pt>
                <c:pt idx="4">
                  <c:v>-16566.666666666664</c:v>
                </c:pt>
                <c:pt idx="5">
                  <c:v>-13349.999999999996</c:v>
                </c:pt>
                <c:pt idx="6">
                  <c:v>-10133.333333333328</c:v>
                </c:pt>
                <c:pt idx="7">
                  <c:v>-6916.6666666666606</c:v>
                </c:pt>
                <c:pt idx="8">
                  <c:v>-3699.9999999999927</c:v>
                </c:pt>
                <c:pt idx="9">
                  <c:v>-483.33333333332484</c:v>
                </c:pt>
                <c:pt idx="10">
                  <c:v>2733.333333333343</c:v>
                </c:pt>
                <c:pt idx="11">
                  <c:v>5950.0000000000109</c:v>
                </c:pt>
              </c:numCache>
            </c:numRef>
          </c:val>
          <c:smooth val="0"/>
          <c:extLst>
            <c:ext xmlns:c16="http://schemas.microsoft.com/office/drawing/2014/chart" uri="{C3380CC4-5D6E-409C-BE32-E72D297353CC}">
              <c16:uniqueId val="{00000001-1ACF-4B3E-8AF1-ECA744CAF344}"/>
            </c:ext>
          </c:extLst>
        </c:ser>
        <c:ser>
          <c:idx val="2"/>
          <c:order val="2"/>
          <c:tx>
            <c:v>Upside</c:v>
          </c:tx>
          <c:spPr>
            <a:ln w="21960">
              <a:solidFill>
                <a:srgbClr val="23727C"/>
              </a:solidFill>
              <a:round/>
            </a:ln>
          </c:spPr>
          <c:marker>
            <c:symbol val="square"/>
            <c:size val="5"/>
            <c:spPr>
              <a:solidFill>
                <a:srgbClr val="23727C"/>
              </a:solidFill>
            </c:spPr>
          </c:marker>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'SCENARIO ANALYSIS'!$C$29:$N$29</c:f>
              <c:strCache>
                <c:ptCount val="12"/>
                <c:pt idx="0">
                  <c:v>Month 1</c:v>
                </c:pt>
                <c:pt idx="1">
                  <c:v>Month 2</c:v>
                </c:pt>
                <c:pt idx="2">
                  <c:v>Month 3</c:v>
                </c:pt>
                <c:pt idx="3">
                  <c:v>Month 4</c:v>
                </c:pt>
                <c:pt idx="4">
                  <c:v>Month 5</c:v>
                </c:pt>
                <c:pt idx="5">
                  <c:v>Month 6</c:v>
                </c:pt>
                <c:pt idx="6">
                  <c:v>Month 7</c:v>
                </c:pt>
                <c:pt idx="7">
                  <c:v>Month 8</c:v>
                </c:pt>
                <c:pt idx="8">
                  <c:v>Month 9</c:v>
                </c:pt>
                <c:pt idx="9">
                  <c:v>Month 10</c:v>
                </c:pt>
                <c:pt idx="10">
                  <c:v>Month 11</c:v>
                </c:pt>
                <c:pt idx="11">
                  <c:v>Month 12</c:v>
                </c:pt>
              </c:strCache>
            </c:strRef>
          </c:cat>
          <c:val>
            <c:numRef>
              <c:f>'SCENARIO ANALYSIS'!$C$36:$N$36</c:f>
              <c:numCache>
                <c:formatCode>\$#,##0;\(\$#,##0\);"-"</c:formatCode>
                <c:ptCount val="12"/>
                <c:pt idx="0">
                  <c:v>-19753.333333333336</c:v>
                </c:pt>
                <c:pt idx="1">
                  <c:v>-21376.666666666668</c:v>
                </c:pt>
                <c:pt idx="2">
                  <c:v>-19370</c:v>
                </c:pt>
                <c:pt idx="3">
                  <c:v>-13733.333333333332</c:v>
                </c:pt>
                <c:pt idx="4">
                  <c:v>-8096.6666666666642</c:v>
                </c:pt>
                <c:pt idx="5">
                  <c:v>-2459.9999999999964</c:v>
                </c:pt>
                <c:pt idx="6">
                  <c:v>3176.6666666666715</c:v>
                </c:pt>
                <c:pt idx="7">
                  <c:v>8813.3333333333394</c:v>
                </c:pt>
                <c:pt idx="8">
                  <c:v>14450.000000000007</c:v>
                </c:pt>
                <c:pt idx="9">
                  <c:v>20086.666666666675</c:v>
                </c:pt>
                <c:pt idx="10">
                  <c:v>25723.333333333343</c:v>
                </c:pt>
                <c:pt idx="11">
                  <c:v>31360.000000000011</c:v>
                </c:pt>
              </c:numCache>
            </c:numRef>
          </c:val>
          <c:smooth val="0"/>
          <c:extLst>
            <c:ext xmlns:c16="http://schemas.microsoft.com/office/drawing/2014/chart" uri="{C3380CC4-5D6E-409C-BE32-E72D297353CC}">
              <c16:uniqueId val="{00000002-1ACF-4B3E-8AF1-ECA744CAF344}"/>
            </c:ext>
          </c:extLst>
        </c:ser>
        <c:dLbls>
          <c:showLegendKey val="0"/>
          <c:showVal val="0"/>
          <c:showCatName val="0"/>
          <c:showSerName val="0"/>
          <c:showPercent val="0"/>
          <c:showBubbleSize val="0"/>
        </c:dLbls>
        <c:hiLowLines>
          <c:spPr>
            <a:ln w="0">
              <a:noFill/>
            </a:ln>
          </c:spPr>
        </c:hiLowLines>
        <c:marker val="1"/>
        <c:smooth val="0"/>
        <c:axId val="35942105"/>
        <c:axId val="31481063"/>
      </c:lineChart>
      <c:catAx>
        <c:axId val="35942105"/>
        <c:scaling>
          <c:orientation val="minMax"/>
        </c:scaling>
        <c:delete val="0"/>
        <c:axPos val="b"/>
        <c:numFmt formatCode="General" sourceLinked="1"/>
        <c:majorTickMark val="none"/>
        <c:minorTickMark val="none"/>
        <c:tickLblPos val="low"/>
        <c:spPr>
          <a:ln w="9360">
            <a:solidFill>
              <a:srgbClr val="878787"/>
            </a:solidFill>
            <a:round/>
          </a:ln>
        </c:spPr>
        <c:txPr>
          <a:bodyPr/>
          <a:lstStyle/>
          <a:p>
            <a:pPr>
              <a:defRPr sz="1000" b="0" strike="noStrike" spc="-1">
                <a:solidFill>
                  <a:srgbClr val="000000"/>
                </a:solidFill>
                <a:latin typeface="Calibri"/>
              </a:defRPr>
            </a:pPr>
            <a:endParaRPr lang="en-US"/>
          </a:p>
        </c:txPr>
        <c:crossAx val="31481063"/>
        <c:crosses val="autoZero"/>
        <c:auto val="1"/>
        <c:lblAlgn val="ctr"/>
        <c:lblOffset val="100"/>
        <c:noMultiLvlLbl val="0"/>
      </c:catAx>
      <c:valAx>
        <c:axId val="31481063"/>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35942105"/>
        <c:crosses val="autoZero"/>
        <c:crossBetween val="between"/>
      </c:valAx>
      <c:spPr>
        <a:noFill/>
        <a:ln w="0">
          <a:noFill/>
        </a:ln>
      </c:spPr>
    </c:plotArea>
    <c:legend>
      <c:legendPos val="b"/>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autoTitleDeleted val="1"/>
    <c:plotArea>
      <c:layout/>
      <c:barChart>
        <c:barDir val="col"/>
        <c:grouping val="clustered"/>
        <c:varyColors val="0"/>
        <c:ser>
          <c:idx val="0"/>
          <c:order val="0"/>
          <c:tx>
            <c:v>Incremental Gross Profit</c:v>
          </c:tx>
          <c:spPr>
            <a:solidFill>
              <a:srgbClr val="23727C"/>
            </a:solidFill>
            <a:ln w="0">
              <a:no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'HIRING ANALYSIS'!$C$56:$N$56</c:f>
              <c:strCache>
                <c:ptCount val="12"/>
                <c:pt idx="0">
                  <c:v>Month 1</c:v>
                </c:pt>
                <c:pt idx="1">
                  <c:v>Month 2</c:v>
                </c:pt>
                <c:pt idx="2">
                  <c:v>Month 3</c:v>
                </c:pt>
                <c:pt idx="3">
                  <c:v>Month 4</c:v>
                </c:pt>
                <c:pt idx="4">
                  <c:v>Month 5</c:v>
                </c:pt>
                <c:pt idx="5">
                  <c:v>Month 6</c:v>
                </c:pt>
                <c:pt idx="6">
                  <c:v>Month 7</c:v>
                </c:pt>
                <c:pt idx="7">
                  <c:v>Month 8</c:v>
                </c:pt>
                <c:pt idx="8">
                  <c:v>Month 9</c:v>
                </c:pt>
                <c:pt idx="9">
                  <c:v>Month 10</c:v>
                </c:pt>
                <c:pt idx="10">
                  <c:v>Month 11</c:v>
                </c:pt>
                <c:pt idx="11">
                  <c:v>Month 12</c:v>
                </c:pt>
              </c:strCache>
            </c:strRef>
          </c:cat>
          <c:val>
            <c:numRef>
              <c:f>'HIRING ANALYSIS'!$C$61:$N$61</c:f>
              <c:numCache>
                <c:formatCode>\$#,##0;\(\$#,##0\);"-"</c:formatCode>
                <c:ptCount val="12"/>
                <c:pt idx="0">
                  <c:v>3025.0000000000005</c:v>
                </c:pt>
                <c:pt idx="1">
                  <c:v>6050.0000000000009</c:v>
                </c:pt>
                <c:pt idx="2">
                  <c:v>9075</c:v>
                </c:pt>
                <c:pt idx="3">
                  <c:v>12100.000000000002</c:v>
                </c:pt>
                <c:pt idx="4">
                  <c:v>12100.000000000002</c:v>
                </c:pt>
                <c:pt idx="5">
                  <c:v>12100.000000000002</c:v>
                </c:pt>
                <c:pt idx="6">
                  <c:v>12100.000000000002</c:v>
                </c:pt>
                <c:pt idx="7">
                  <c:v>12100.000000000002</c:v>
                </c:pt>
                <c:pt idx="8">
                  <c:v>12100.000000000002</c:v>
                </c:pt>
                <c:pt idx="9">
                  <c:v>12100.000000000002</c:v>
                </c:pt>
                <c:pt idx="10">
                  <c:v>12100.000000000002</c:v>
                </c:pt>
                <c:pt idx="11">
                  <c:v>12100.000000000002</c:v>
                </c:pt>
              </c:numCache>
            </c:numRef>
          </c:val>
          <c:extLst>
            <c:ext xmlns:c16="http://schemas.microsoft.com/office/drawing/2014/chart" uri="{C3380CC4-5D6E-409C-BE32-E72D297353CC}">
              <c16:uniqueId val="{00000000-E896-4B03-A5CF-8486472EFCE5}"/>
            </c:ext>
          </c:extLst>
        </c:ser>
        <c:ser>
          <c:idx val="1"/>
          <c:order val="1"/>
          <c:tx>
            <c:v>Total Hire Cost (incl. one-time)</c:v>
          </c:tx>
          <c:spPr>
            <a:solidFill>
              <a:srgbClr val="083152"/>
            </a:solidFill>
            <a:ln w="0">
              <a:no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'HIRING ANALYSIS'!$C$56:$N$56</c:f>
              <c:strCache>
                <c:ptCount val="12"/>
                <c:pt idx="0">
                  <c:v>Month 1</c:v>
                </c:pt>
                <c:pt idx="1">
                  <c:v>Month 2</c:v>
                </c:pt>
                <c:pt idx="2">
                  <c:v>Month 3</c:v>
                </c:pt>
                <c:pt idx="3">
                  <c:v>Month 4</c:v>
                </c:pt>
                <c:pt idx="4">
                  <c:v>Month 5</c:v>
                </c:pt>
                <c:pt idx="5">
                  <c:v>Month 6</c:v>
                </c:pt>
                <c:pt idx="6">
                  <c:v>Month 7</c:v>
                </c:pt>
                <c:pt idx="7">
                  <c:v>Month 8</c:v>
                </c:pt>
                <c:pt idx="8">
                  <c:v>Month 9</c:v>
                </c:pt>
                <c:pt idx="9">
                  <c:v>Month 10</c:v>
                </c:pt>
                <c:pt idx="10">
                  <c:v>Month 11</c:v>
                </c:pt>
                <c:pt idx="11">
                  <c:v>Month 12</c:v>
                </c:pt>
              </c:strCache>
            </c:strRef>
          </c:cat>
          <c:val>
            <c:numRef>
              <c:f>'HIRING ANALYSIS'!$C$64:$N$64</c:f>
              <c:numCache>
                <c:formatCode>\$#,##0;\(\$#,##0\);"-"</c:formatCode>
                <c:ptCount val="12"/>
                <c:pt idx="0">
                  <c:v>23383.333333333336</c:v>
                </c:pt>
                <c:pt idx="1">
                  <c:v>8883.3333333333339</c:v>
                </c:pt>
                <c:pt idx="2">
                  <c:v>8883.3333333333339</c:v>
                </c:pt>
                <c:pt idx="3">
                  <c:v>8883.3333333333339</c:v>
                </c:pt>
                <c:pt idx="4">
                  <c:v>8883.3333333333339</c:v>
                </c:pt>
                <c:pt idx="5">
                  <c:v>8883.3333333333339</c:v>
                </c:pt>
                <c:pt idx="6">
                  <c:v>8883.3333333333339</c:v>
                </c:pt>
                <c:pt idx="7">
                  <c:v>8883.3333333333339</c:v>
                </c:pt>
                <c:pt idx="8">
                  <c:v>8883.3333333333339</c:v>
                </c:pt>
                <c:pt idx="9">
                  <c:v>8883.3333333333339</c:v>
                </c:pt>
                <c:pt idx="10">
                  <c:v>8883.3333333333339</c:v>
                </c:pt>
                <c:pt idx="11">
                  <c:v>8883.3333333333339</c:v>
                </c:pt>
              </c:numCache>
            </c:numRef>
          </c:val>
          <c:extLst>
            <c:ext xmlns:c16="http://schemas.microsoft.com/office/drawing/2014/chart" uri="{C3380CC4-5D6E-409C-BE32-E72D297353CC}">
              <c16:uniqueId val="{00000001-E896-4B03-A5CF-8486472EFCE5}"/>
            </c:ext>
          </c:extLst>
        </c:ser>
        <c:dLbls>
          <c:showLegendKey val="0"/>
          <c:showVal val="0"/>
          <c:showCatName val="0"/>
          <c:showSerName val="0"/>
          <c:showPercent val="0"/>
          <c:showBubbleSize val="0"/>
        </c:dLbls>
        <c:gapWidth val="55"/>
        <c:overlap val="-12"/>
        <c:axId val="17174562"/>
        <c:axId val="76309035"/>
      </c:barChart>
      <c:catAx>
        <c:axId val="17174562"/>
        <c:scaling>
          <c:orientation val="minMax"/>
        </c:scaling>
        <c:delete val="0"/>
        <c:axPos val="b"/>
        <c:numFmt formatCode="General" sourceLinked="1"/>
        <c:majorTickMark val="none"/>
        <c:minorTickMark val="none"/>
        <c:tickLblPos val="low"/>
        <c:spPr>
          <a:ln w="9360">
            <a:solidFill>
              <a:srgbClr val="878787"/>
            </a:solidFill>
            <a:round/>
          </a:ln>
        </c:spPr>
        <c:txPr>
          <a:bodyPr/>
          <a:lstStyle/>
          <a:p>
            <a:pPr>
              <a:defRPr sz="1000" b="0" strike="noStrike" spc="-1">
                <a:solidFill>
                  <a:srgbClr val="000000"/>
                </a:solidFill>
                <a:latin typeface="Calibri"/>
              </a:defRPr>
            </a:pPr>
            <a:endParaRPr lang="en-US"/>
          </a:p>
        </c:txPr>
        <c:crossAx val="76309035"/>
        <c:crosses val="autoZero"/>
        <c:auto val="1"/>
        <c:lblAlgn val="ctr"/>
        <c:lblOffset val="100"/>
        <c:noMultiLvlLbl val="0"/>
      </c:catAx>
      <c:valAx>
        <c:axId val="76309035"/>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17174562"/>
        <c:crosses val="autoZero"/>
        <c:crossBetween val="between"/>
      </c:valAx>
      <c:spPr>
        <a:noFill/>
        <a:ln w="0">
          <a:noFill/>
        </a:ln>
      </c:spPr>
    </c:plotArea>
    <c:legend>
      <c:legendPos val="b"/>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autoTitleDeleted val="1"/>
    <c:plotArea>
      <c:layout/>
      <c:lineChart>
        <c:grouping val="standard"/>
        <c:varyColors val="0"/>
        <c:ser>
          <c:idx val="0"/>
          <c:order val="0"/>
          <c:tx>
            <c:v>Cumulative Contribution</c:v>
          </c:tx>
          <c:spPr>
            <a:ln w="24120">
              <a:solidFill>
                <a:srgbClr val="083152"/>
              </a:solidFill>
              <a:round/>
            </a:ln>
          </c:spPr>
          <c:marker>
            <c:symbol val="circle"/>
            <c:size val="5"/>
            <c:spPr>
              <a:solidFill>
                <a:srgbClr val="083152"/>
              </a:solidFill>
            </c:spPr>
          </c:marker>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'HIRING ANALYSIS'!$C$56:$N$56</c:f>
              <c:strCache>
                <c:ptCount val="12"/>
                <c:pt idx="0">
                  <c:v>Month 1</c:v>
                </c:pt>
                <c:pt idx="1">
                  <c:v>Month 2</c:v>
                </c:pt>
                <c:pt idx="2">
                  <c:v>Month 3</c:v>
                </c:pt>
                <c:pt idx="3">
                  <c:v>Month 4</c:v>
                </c:pt>
                <c:pt idx="4">
                  <c:v>Month 5</c:v>
                </c:pt>
                <c:pt idx="5">
                  <c:v>Month 6</c:v>
                </c:pt>
                <c:pt idx="6">
                  <c:v>Month 7</c:v>
                </c:pt>
                <c:pt idx="7">
                  <c:v>Month 8</c:v>
                </c:pt>
                <c:pt idx="8">
                  <c:v>Month 9</c:v>
                </c:pt>
                <c:pt idx="9">
                  <c:v>Month 10</c:v>
                </c:pt>
                <c:pt idx="10">
                  <c:v>Month 11</c:v>
                </c:pt>
                <c:pt idx="11">
                  <c:v>Month 12</c:v>
                </c:pt>
              </c:strCache>
            </c:strRef>
          </c:cat>
          <c:val>
            <c:numRef>
              <c:f>'HIRING ANALYSIS'!$C$66:$N$66</c:f>
              <c:numCache>
                <c:formatCode>\$#,##0;\(\$#,##0\);"-"</c:formatCode>
                <c:ptCount val="12"/>
                <c:pt idx="0">
                  <c:v>-20358.333333333336</c:v>
                </c:pt>
                <c:pt idx="1">
                  <c:v>-23191.666666666668</c:v>
                </c:pt>
                <c:pt idx="2">
                  <c:v>-23000</c:v>
                </c:pt>
                <c:pt idx="3">
                  <c:v>-19783.333333333332</c:v>
                </c:pt>
                <c:pt idx="4">
                  <c:v>-16566.666666666664</c:v>
                </c:pt>
                <c:pt idx="5">
                  <c:v>-13349.999999999996</c:v>
                </c:pt>
                <c:pt idx="6">
                  <c:v>-10133.333333333328</c:v>
                </c:pt>
                <c:pt idx="7">
                  <c:v>-6916.6666666666606</c:v>
                </c:pt>
                <c:pt idx="8">
                  <c:v>-3699.9999999999927</c:v>
                </c:pt>
                <c:pt idx="9">
                  <c:v>-483.33333333332484</c:v>
                </c:pt>
                <c:pt idx="10">
                  <c:v>2733.333333333343</c:v>
                </c:pt>
                <c:pt idx="11">
                  <c:v>5950.0000000000109</c:v>
                </c:pt>
              </c:numCache>
            </c:numRef>
          </c:val>
          <c:smooth val="0"/>
          <c:extLst>
            <c:ext xmlns:c16="http://schemas.microsoft.com/office/drawing/2014/chart" uri="{C3380CC4-5D6E-409C-BE32-E72D297353CC}">
              <c16:uniqueId val="{00000000-7A96-46C6-A63C-31DD540BD6BB}"/>
            </c:ext>
          </c:extLst>
        </c:ser>
        <c:dLbls>
          <c:showLegendKey val="0"/>
          <c:showVal val="0"/>
          <c:showCatName val="0"/>
          <c:showSerName val="0"/>
          <c:showPercent val="0"/>
          <c:showBubbleSize val="0"/>
        </c:dLbls>
        <c:hiLowLines>
          <c:spPr>
            <a:ln w="0">
              <a:noFill/>
            </a:ln>
          </c:spPr>
        </c:hiLowLines>
        <c:marker val="1"/>
        <c:smooth val="0"/>
        <c:axId val="88094184"/>
        <c:axId val="19554407"/>
      </c:lineChart>
      <c:catAx>
        <c:axId val="88094184"/>
        <c:scaling>
          <c:orientation val="minMax"/>
        </c:scaling>
        <c:delete val="0"/>
        <c:axPos val="b"/>
        <c:numFmt formatCode="General" sourceLinked="1"/>
        <c:majorTickMark val="none"/>
        <c:minorTickMark val="none"/>
        <c:tickLblPos val="low"/>
        <c:spPr>
          <a:ln w="9360">
            <a:solidFill>
              <a:srgbClr val="878787"/>
            </a:solidFill>
            <a:round/>
          </a:ln>
        </c:spPr>
        <c:txPr>
          <a:bodyPr/>
          <a:lstStyle/>
          <a:p>
            <a:pPr>
              <a:defRPr sz="1000" b="0" strike="noStrike" spc="-1">
                <a:solidFill>
                  <a:srgbClr val="000000"/>
                </a:solidFill>
                <a:latin typeface="Calibri"/>
              </a:defRPr>
            </a:pPr>
            <a:endParaRPr lang="en-US"/>
          </a:p>
        </c:txPr>
        <c:crossAx val="19554407"/>
        <c:crosses val="autoZero"/>
        <c:auto val="1"/>
        <c:lblAlgn val="ctr"/>
        <c:lblOffset val="100"/>
        <c:noMultiLvlLbl val="0"/>
      </c:catAx>
      <c:valAx>
        <c:axId val="19554407"/>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88094184"/>
        <c:crosses val="autoZero"/>
        <c:crossBetween val="between"/>
      </c:valAx>
      <c:spPr>
        <a:noFill/>
        <a:ln w="0">
          <a:noFill/>
        </a:ln>
      </c:spPr>
    </c:plotArea>
    <c:legend>
      <c:legendPos val="b"/>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autoTitleDeleted val="1"/>
    <c:plotArea>
      <c:layout/>
      <c:barChart>
        <c:barDir val="col"/>
        <c:grouping val="clustered"/>
        <c:varyColors val="0"/>
        <c:ser>
          <c:idx val="0"/>
          <c:order val="0"/>
          <c:tx>
            <c:v>12-Month Cumulative Contribution</c:v>
          </c:tx>
          <c:spPr>
            <a:solidFill>
              <a:srgbClr val="083152"/>
            </a:solidFill>
            <a:ln w="0">
              <a:noFill/>
            </a:ln>
          </c:spPr>
          <c:invertIfNegative val="0"/>
          <c:dPt>
            <c:idx val="0"/>
            <c:invertIfNegative val="0"/>
            <c:bubble3D val="0"/>
            <c:spPr>
              <a:solidFill>
                <a:srgbClr val="7FB1B8"/>
              </a:solidFill>
              <a:ln w="0">
                <a:noFill/>
              </a:ln>
            </c:spPr>
            <c:extLst>
              <c:ext xmlns:c16="http://schemas.microsoft.com/office/drawing/2014/chart" uri="{C3380CC4-5D6E-409C-BE32-E72D297353CC}">
                <c16:uniqueId val="{00000001-5DA7-409D-A9DE-011078C1CDEC}"/>
              </c:ext>
            </c:extLst>
          </c:dPt>
          <c:dPt>
            <c:idx val="1"/>
            <c:invertIfNegative val="0"/>
            <c:bubble3D val="0"/>
            <c:extLst>
              <c:ext xmlns:c16="http://schemas.microsoft.com/office/drawing/2014/chart" uri="{C3380CC4-5D6E-409C-BE32-E72D297353CC}">
                <c16:uniqueId val="{00000003-5DA7-409D-A9DE-011078C1CDEC}"/>
              </c:ext>
            </c:extLst>
          </c:dPt>
          <c:dPt>
            <c:idx val="2"/>
            <c:invertIfNegative val="0"/>
            <c:bubble3D val="0"/>
            <c:spPr>
              <a:solidFill>
                <a:srgbClr val="23727C"/>
              </a:solidFill>
              <a:ln w="0">
                <a:noFill/>
              </a:ln>
            </c:spPr>
            <c:extLst>
              <c:ext xmlns:c16="http://schemas.microsoft.com/office/drawing/2014/chart" uri="{C3380CC4-5D6E-409C-BE32-E72D297353CC}">
                <c16:uniqueId val="{00000005-5DA7-409D-A9DE-011078C1CDEC}"/>
              </c:ext>
            </c:extLst>
          </c:dPt>
          <c:dLbls>
            <c:dLbl>
              <c:idx val="0"/>
              <c:spPr/>
              <c:txPr>
                <a:bodyPr wrap="square"/>
                <a:lstStyle/>
                <a:p>
                  <a:pPr>
                    <a:defRPr sz="1000" b="0" strike="noStrike" spc="-1">
                      <a:solidFill>
                        <a:srgbClr val="000000"/>
                      </a:solidFill>
                      <a:latin typeface="Calibri"/>
                    </a:defRPr>
                  </a:pPr>
                  <a:endParaRPr lang="en-US"/>
                </a:p>
              </c:txPr>
              <c:dLblPos val="outEnd"/>
              <c:showLegendKey val="0"/>
              <c:showVal val="1"/>
              <c:showCatName val="0"/>
              <c:showSerName val="0"/>
              <c:showPercent val="0"/>
              <c:showBubbleSize val="1"/>
              <c:extLst>
                <c:ext xmlns:c16="http://schemas.microsoft.com/office/drawing/2014/chart" uri="{C3380CC4-5D6E-409C-BE32-E72D297353CC}">
                  <c16:uniqueId val="{00000001-5DA7-409D-A9DE-011078C1CDEC}"/>
                </c:ext>
              </c:extLst>
            </c:dLbl>
            <c:dLbl>
              <c:idx val="1"/>
              <c:spPr/>
              <c:txPr>
                <a:bodyPr wrap="square"/>
                <a:lstStyle/>
                <a:p>
                  <a:pPr>
                    <a:defRPr sz="1000" b="0" strike="noStrike" spc="-1">
                      <a:solidFill>
                        <a:srgbClr val="000000"/>
                      </a:solidFill>
                      <a:latin typeface="Calibri"/>
                    </a:defRPr>
                  </a:pPr>
                  <a:endParaRPr lang="en-US"/>
                </a:p>
              </c:txPr>
              <c:dLblPos val="outEnd"/>
              <c:showLegendKey val="0"/>
              <c:showVal val="1"/>
              <c:showCatName val="0"/>
              <c:showSerName val="0"/>
              <c:showPercent val="0"/>
              <c:showBubbleSize val="1"/>
              <c:extLst>
                <c:ext xmlns:c16="http://schemas.microsoft.com/office/drawing/2014/chart" uri="{C3380CC4-5D6E-409C-BE32-E72D297353CC}">
                  <c16:uniqueId val="{00000003-5DA7-409D-A9DE-011078C1CDEC}"/>
                </c:ext>
              </c:extLst>
            </c:dLbl>
            <c:dLbl>
              <c:idx val="2"/>
              <c:spPr/>
              <c:txPr>
                <a:bodyPr wrap="square"/>
                <a:lstStyle/>
                <a:p>
                  <a:pPr>
                    <a:defRPr sz="1000" b="0" strike="noStrike" spc="-1">
                      <a:solidFill>
                        <a:srgbClr val="000000"/>
                      </a:solidFill>
                      <a:latin typeface="Calibri"/>
                    </a:defRPr>
                  </a:pPr>
                  <a:endParaRPr lang="en-US"/>
                </a:p>
              </c:txPr>
              <c:dLblPos val="outEnd"/>
              <c:showLegendKey val="0"/>
              <c:showVal val="1"/>
              <c:showCatName val="0"/>
              <c:showSerName val="0"/>
              <c:showPercent val="0"/>
              <c:showBubbleSize val="1"/>
              <c:extLst>
                <c:ext xmlns:c16="http://schemas.microsoft.com/office/drawing/2014/chart" uri="{C3380CC4-5D6E-409C-BE32-E72D297353CC}">
                  <c16:uniqueId val="{00000005-5DA7-409D-A9DE-011078C1CDEC}"/>
                </c:ext>
              </c:extLst>
            </c:dLbl>
            <c:spPr>
              <a:noFill/>
              <a:ln>
                <a:noFill/>
              </a:ln>
              <a:effectLst/>
            </c:spPr>
            <c:txPr>
              <a:bodyPr wrap="square"/>
              <a:lstStyle/>
              <a:p>
                <a:pPr>
                  <a:defRPr sz="1000" b="0" strike="noStrike" spc="-1">
                    <a:solidFill>
                      <a:srgbClr val="000000"/>
                    </a:solidFill>
                    <a:latin typeface="Calibri"/>
                  </a:defRPr>
                </a:pPr>
                <a:endParaRPr lang="en-US"/>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'SCENARIO ANALYSIS'!$C$14:$E$14</c:f>
              <c:strCache>
                <c:ptCount val="3"/>
                <c:pt idx="0">
                  <c:v>Downside</c:v>
                </c:pt>
                <c:pt idx="1">
                  <c:v>Base</c:v>
                </c:pt>
                <c:pt idx="2">
                  <c:v>Upside</c:v>
                </c:pt>
              </c:strCache>
            </c:strRef>
          </c:cat>
          <c:val>
            <c:numRef>
              <c:f>'SCENARIO ANALYSIS'!$C$25:$E$25</c:f>
              <c:numCache>
                <c:formatCode>\$#,##0;\(\$#,##0\);"-"</c:formatCode>
                <c:ptCount val="3"/>
                <c:pt idx="0">
                  <c:v>-32165.000000000029</c:v>
                </c:pt>
                <c:pt idx="1">
                  <c:v>5950.0000000000109</c:v>
                </c:pt>
                <c:pt idx="2">
                  <c:v>31360.000000000011</c:v>
                </c:pt>
              </c:numCache>
            </c:numRef>
          </c:val>
          <c:extLst>
            <c:ext xmlns:c16="http://schemas.microsoft.com/office/drawing/2014/chart" uri="{C3380CC4-5D6E-409C-BE32-E72D297353CC}">
              <c16:uniqueId val="{00000006-5DA7-409D-A9DE-011078C1CDEC}"/>
            </c:ext>
          </c:extLst>
        </c:ser>
        <c:dLbls>
          <c:showLegendKey val="0"/>
          <c:showVal val="0"/>
          <c:showCatName val="0"/>
          <c:showSerName val="0"/>
          <c:showPercent val="0"/>
          <c:showBubbleSize val="0"/>
        </c:dLbls>
        <c:gapWidth val="90"/>
        <c:axId val="13831897"/>
        <c:axId val="80409820"/>
      </c:barChart>
      <c:catAx>
        <c:axId val="13831897"/>
        <c:scaling>
          <c:orientation val="minMax"/>
        </c:scaling>
        <c:delete val="0"/>
        <c:axPos val="b"/>
        <c:numFmt formatCode="General" sourceLinked="1"/>
        <c:majorTickMark val="none"/>
        <c:minorTickMark val="none"/>
        <c:tickLblPos val="low"/>
        <c:spPr>
          <a:ln w="9360">
            <a:solidFill>
              <a:srgbClr val="878787"/>
            </a:solidFill>
            <a:round/>
          </a:ln>
        </c:spPr>
        <c:txPr>
          <a:bodyPr/>
          <a:lstStyle/>
          <a:p>
            <a:pPr>
              <a:defRPr sz="1000" b="0" strike="noStrike" spc="-1">
                <a:solidFill>
                  <a:srgbClr val="000000"/>
                </a:solidFill>
                <a:latin typeface="Calibri"/>
              </a:defRPr>
            </a:pPr>
            <a:endParaRPr lang="en-US"/>
          </a:p>
        </c:txPr>
        <c:crossAx val="80409820"/>
        <c:crosses val="autoZero"/>
        <c:auto val="1"/>
        <c:lblAlgn val="ctr"/>
        <c:lblOffset val="100"/>
        <c:noMultiLvlLbl val="0"/>
      </c:catAx>
      <c:valAx>
        <c:axId val="80409820"/>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13831897"/>
        <c:crosses val="autoZero"/>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autoTitleDeleted val="1"/>
    <c:plotArea>
      <c:layout/>
      <c:barChart>
        <c:barDir val="col"/>
        <c:grouping val="clustered"/>
        <c:varyColors val="0"/>
        <c:ser>
          <c:idx val="0"/>
          <c:order val="0"/>
          <c:tx>
            <c:v>Before Hire</c:v>
          </c:tx>
          <c:spPr>
            <a:solidFill>
              <a:srgbClr val="083152"/>
            </a:solidFill>
            <a:ln w="0">
              <a:no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'HIRING ANALYSIS'!$B$43:$B$46</c:f>
              <c:strCache>
                <c:ptCount val="4"/>
                <c:pt idx="0">
                  <c:v>Monthly Revenue</c:v>
                </c:pt>
                <c:pt idx="1">
                  <c:v>Monthly Gross Profit</c:v>
                </c:pt>
                <c:pt idx="2">
                  <c:v>Monthly Operating Expenses</c:v>
                </c:pt>
                <c:pt idx="3">
                  <c:v>Monthly Operating Profit</c:v>
                </c:pt>
              </c:strCache>
            </c:strRef>
          </c:cat>
          <c:val>
            <c:numRef>
              <c:f>'HIRING ANALYSIS'!$C$43:$C$46</c:f>
              <c:numCache>
                <c:formatCode>\$#,##0;\(\$#,##0\);"-"</c:formatCode>
                <c:ptCount val="4"/>
                <c:pt idx="0">
                  <c:v>125000</c:v>
                </c:pt>
                <c:pt idx="1">
                  <c:v>68750</c:v>
                </c:pt>
                <c:pt idx="2">
                  <c:v>57000</c:v>
                </c:pt>
                <c:pt idx="3">
                  <c:v>11750</c:v>
                </c:pt>
              </c:numCache>
            </c:numRef>
          </c:val>
          <c:extLst>
            <c:ext xmlns:c16="http://schemas.microsoft.com/office/drawing/2014/chart" uri="{C3380CC4-5D6E-409C-BE32-E72D297353CC}">
              <c16:uniqueId val="{00000000-0CF0-4C46-B76A-2F220BEB9D0F}"/>
            </c:ext>
          </c:extLst>
        </c:ser>
        <c:ser>
          <c:idx val="1"/>
          <c:order val="1"/>
          <c:tx>
            <c:v>After Hire</c:v>
          </c:tx>
          <c:spPr>
            <a:solidFill>
              <a:srgbClr val="23727C"/>
            </a:solidFill>
            <a:ln w="0">
              <a:no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'HIRING ANALYSIS'!$B$43:$B$46</c:f>
              <c:strCache>
                <c:ptCount val="4"/>
                <c:pt idx="0">
                  <c:v>Monthly Revenue</c:v>
                </c:pt>
                <c:pt idx="1">
                  <c:v>Monthly Gross Profit</c:v>
                </c:pt>
                <c:pt idx="2">
                  <c:v>Monthly Operating Expenses</c:v>
                </c:pt>
                <c:pt idx="3">
                  <c:v>Monthly Operating Profit</c:v>
                </c:pt>
              </c:strCache>
            </c:strRef>
          </c:cat>
          <c:val>
            <c:numRef>
              <c:f>'HIRING ANALYSIS'!$D$43:$D$46</c:f>
              <c:numCache>
                <c:formatCode>\$#,##0;\(\$#,##0\);"-"</c:formatCode>
                <c:ptCount val="4"/>
                <c:pt idx="0">
                  <c:v>147000</c:v>
                </c:pt>
                <c:pt idx="1">
                  <c:v>80850</c:v>
                </c:pt>
                <c:pt idx="2">
                  <c:v>65883.333333333328</c:v>
                </c:pt>
                <c:pt idx="3">
                  <c:v>14966.666666666672</c:v>
                </c:pt>
              </c:numCache>
            </c:numRef>
          </c:val>
          <c:extLst>
            <c:ext xmlns:c16="http://schemas.microsoft.com/office/drawing/2014/chart" uri="{C3380CC4-5D6E-409C-BE32-E72D297353CC}">
              <c16:uniqueId val="{00000001-0CF0-4C46-B76A-2F220BEB9D0F}"/>
            </c:ext>
          </c:extLst>
        </c:ser>
        <c:dLbls>
          <c:showLegendKey val="0"/>
          <c:showVal val="0"/>
          <c:showCatName val="0"/>
          <c:showSerName val="0"/>
          <c:showPercent val="0"/>
          <c:showBubbleSize val="0"/>
        </c:dLbls>
        <c:gapWidth val="60"/>
        <c:overlap val="-12"/>
        <c:axId val="99816718"/>
        <c:axId val="33637724"/>
      </c:barChart>
      <c:catAx>
        <c:axId val="99816718"/>
        <c:scaling>
          <c:orientation val="minMax"/>
        </c:scaling>
        <c:delete val="0"/>
        <c:axPos val="b"/>
        <c:numFmt formatCode="General" sourceLinked="1"/>
        <c:majorTickMark val="none"/>
        <c:minorTickMark val="none"/>
        <c:tickLblPos val="low"/>
        <c:spPr>
          <a:ln w="9360">
            <a:solidFill>
              <a:srgbClr val="878787"/>
            </a:solidFill>
            <a:round/>
          </a:ln>
        </c:spPr>
        <c:txPr>
          <a:bodyPr/>
          <a:lstStyle/>
          <a:p>
            <a:pPr>
              <a:defRPr sz="1000" b="0" strike="noStrike" spc="-1">
                <a:solidFill>
                  <a:srgbClr val="000000"/>
                </a:solidFill>
                <a:latin typeface="Calibri"/>
              </a:defRPr>
            </a:pPr>
            <a:endParaRPr lang="en-US"/>
          </a:p>
        </c:txPr>
        <c:crossAx val="33637724"/>
        <c:crosses val="autoZero"/>
        <c:auto val="1"/>
        <c:lblAlgn val="ctr"/>
        <c:lblOffset val="100"/>
        <c:noMultiLvlLbl val="0"/>
      </c:catAx>
      <c:valAx>
        <c:axId val="33637724"/>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99816718"/>
        <c:crosses val="autoZero"/>
        <c:crossBetween val="between"/>
      </c:valAx>
      <c:spPr>
        <a:noFill/>
        <a:ln w="0">
          <a:noFill/>
        </a:ln>
      </c:spPr>
    </c:plotArea>
    <c:legend>
      <c:legendPos val="b"/>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 Id="rId4"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48</xdr:row>
      <xdr:rowOff>0</xdr:rowOff>
    </xdr:from>
    <xdr:to>
      <xdr:col>15</xdr:col>
      <xdr:colOff>57960</xdr:colOff>
      <xdr:row>64</xdr:row>
      <xdr:rowOff>26640</xdr:rowOff>
    </xdr:to>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15</xdr:row>
      <xdr:rowOff>0</xdr:rowOff>
    </xdr:from>
    <xdr:to>
      <xdr:col>6</xdr:col>
      <xdr:colOff>289080</xdr:colOff>
      <xdr:row>27</xdr:row>
      <xdr:rowOff>161640</xdr:rowOff>
    </xdr:to>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7</xdr:col>
      <xdr:colOff>0</xdr:colOff>
      <xdr:row>15</xdr:row>
      <xdr:rowOff>0</xdr:rowOff>
    </xdr:from>
    <xdr:to>
      <xdr:col>12</xdr:col>
      <xdr:colOff>289080</xdr:colOff>
      <xdr:row>27</xdr:row>
      <xdr:rowOff>161640</xdr:rowOff>
    </xdr:to>
    <xdr:graphicFrame macro="">
      <xdr:nvGraphicFramePr>
        <xdr:cNvPr id="3" name="Chart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0</xdr:colOff>
      <xdr:row>29</xdr:row>
      <xdr:rowOff>0</xdr:rowOff>
    </xdr:from>
    <xdr:to>
      <xdr:col>6</xdr:col>
      <xdr:colOff>289080</xdr:colOff>
      <xdr:row>41</xdr:row>
      <xdr:rowOff>161640</xdr:rowOff>
    </xdr:to>
    <xdr:graphicFrame macro="">
      <xdr:nvGraphicFramePr>
        <xdr:cNvPr id="4" name="Chart 3">
          <a:extLst>
            <a:ext uri="{FF2B5EF4-FFF2-40B4-BE49-F238E27FC236}">
              <a16:creationId xmlns:a16="http://schemas.microsoft.com/office/drawing/2014/main" id="{00000000-0008-0000-05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7</xdr:col>
      <xdr:colOff>0</xdr:colOff>
      <xdr:row>29</xdr:row>
      <xdr:rowOff>0</xdr:rowOff>
    </xdr:from>
    <xdr:to>
      <xdr:col>12</xdr:col>
      <xdr:colOff>289080</xdr:colOff>
      <xdr:row>41</xdr:row>
      <xdr:rowOff>161640</xdr:rowOff>
    </xdr:to>
    <xdr:graphicFrame macro="">
      <xdr:nvGraphicFramePr>
        <xdr:cNvPr id="5" name="Chart 4">
          <a:extLst>
            <a:ext uri="{FF2B5EF4-FFF2-40B4-BE49-F238E27FC236}">
              <a16:creationId xmlns:a16="http://schemas.microsoft.com/office/drawing/2014/main" id="{00000000-0008-0000-05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83152"/>
    <pageSetUpPr fitToPage="1"/>
  </sheetPr>
  <dimension ref="A1:I50"/>
  <sheetViews>
    <sheetView showGridLines="0" tabSelected="1" zoomScaleNormal="100" workbookViewId="0">
      <pane ySplit="6" topLeftCell="A7" activePane="bottomLeft" state="frozen"/>
      <selection pane="bottomLeft" activeCell="D41" sqref="D41:H41"/>
    </sheetView>
  </sheetViews>
  <sheetFormatPr defaultColWidth="8.7109375" defaultRowHeight="15" x14ac:dyDescent="0.25"/>
  <cols>
    <col min="1" max="1" width="3" customWidth="1"/>
    <col min="2" max="2" width="4" customWidth="1"/>
    <col min="3" max="7" width="14" customWidth="1"/>
    <col min="8" max="8" width="18" customWidth="1"/>
    <col min="9" max="9" width="3" customWidth="1"/>
  </cols>
  <sheetData>
    <row r="1" spans="1:9" ht="9.75" customHeight="1" x14ac:dyDescent="0.25">
      <c r="A1" s="15"/>
      <c r="B1" s="15"/>
      <c r="C1" s="15"/>
      <c r="D1" s="15"/>
      <c r="E1" s="15"/>
      <c r="F1" s="15"/>
      <c r="G1" s="15"/>
      <c r="H1" s="15"/>
      <c r="I1" s="15"/>
    </row>
    <row r="2" spans="1:9" ht="15.75" customHeight="1" x14ac:dyDescent="0.25">
      <c r="A2" s="15"/>
      <c r="B2" s="14" t="s">
        <v>0</v>
      </c>
      <c r="C2" s="14"/>
      <c r="D2" s="14"/>
      <c r="E2" s="14"/>
      <c r="F2" s="14"/>
      <c r="G2" s="14"/>
      <c r="H2" s="14"/>
      <c r="I2" s="15"/>
    </row>
    <row r="3" spans="1:9" ht="33.75" customHeight="1" x14ac:dyDescent="0.25">
      <c r="A3" s="15"/>
      <c r="B3" s="13" t="s">
        <v>1</v>
      </c>
      <c r="C3" s="13"/>
      <c r="D3" s="13"/>
      <c r="E3" s="13"/>
      <c r="F3" s="13"/>
      <c r="G3" s="13"/>
      <c r="H3" s="13"/>
      <c r="I3" s="15"/>
    </row>
    <row r="4" spans="1:9" ht="31.5" customHeight="1" x14ac:dyDescent="0.25">
      <c r="A4" s="15"/>
      <c r="B4" s="12" t="s">
        <v>2</v>
      </c>
      <c r="C4" s="12"/>
      <c r="D4" s="12"/>
      <c r="E4" s="12"/>
      <c r="F4" s="12"/>
      <c r="G4" s="12"/>
      <c r="H4" s="12"/>
      <c r="I4" s="15"/>
    </row>
    <row r="5" spans="1:9" ht="6" customHeight="1" x14ac:dyDescent="0.25">
      <c r="A5" s="15"/>
      <c r="B5" s="15"/>
      <c r="C5" s="15"/>
      <c r="D5" s="15"/>
      <c r="E5" s="15"/>
      <c r="F5" s="15"/>
      <c r="G5" s="15"/>
      <c r="H5" s="15"/>
      <c r="I5" s="15"/>
    </row>
    <row r="6" spans="1:9" ht="6" customHeight="1" x14ac:dyDescent="0.25">
      <c r="A6" s="15"/>
      <c r="B6" s="15"/>
      <c r="C6" s="15"/>
      <c r="D6" s="15"/>
      <c r="E6" s="15"/>
      <c r="F6" s="15"/>
      <c r="G6" s="15"/>
      <c r="H6" s="15"/>
      <c r="I6" s="15"/>
    </row>
    <row r="8" spans="1:9" ht="21.75" customHeight="1" x14ac:dyDescent="0.25">
      <c r="B8" s="11" t="s">
        <v>3</v>
      </c>
      <c r="C8" s="11"/>
      <c r="D8" s="11"/>
      <c r="E8" s="11"/>
      <c r="F8" s="11"/>
      <c r="G8" s="11"/>
      <c r="H8" s="11"/>
    </row>
    <row r="9" spans="1:9" ht="6" customHeight="1" x14ac:dyDescent="0.25"/>
    <row r="10" spans="1:9" ht="15.75" customHeight="1" x14ac:dyDescent="0.25">
      <c r="B10" s="10" t="s">
        <v>4</v>
      </c>
      <c r="C10" s="10"/>
      <c r="D10" s="10"/>
      <c r="E10" s="10"/>
      <c r="F10" s="10"/>
      <c r="G10" s="10"/>
      <c r="H10" s="10"/>
    </row>
    <row r="11" spans="1:9" ht="30" customHeight="1" x14ac:dyDescent="0.25">
      <c r="B11" s="10" t="s">
        <v>5</v>
      </c>
      <c r="C11" s="10"/>
      <c r="D11" s="10"/>
      <c r="E11" s="10"/>
      <c r="F11" s="10"/>
      <c r="G11" s="10"/>
      <c r="H11" s="10"/>
    </row>
    <row r="12" spans="1:9" ht="30" customHeight="1" x14ac:dyDescent="0.25">
      <c r="B12" s="10" t="s">
        <v>6</v>
      </c>
      <c r="C12" s="10"/>
      <c r="D12" s="10"/>
      <c r="E12" s="10"/>
      <c r="F12" s="10"/>
      <c r="G12" s="10"/>
      <c r="H12" s="10"/>
    </row>
    <row r="13" spans="1:9" ht="30" customHeight="1" x14ac:dyDescent="0.25">
      <c r="B13" s="10" t="s">
        <v>7</v>
      </c>
      <c r="C13" s="10"/>
      <c r="D13" s="10"/>
      <c r="E13" s="10"/>
      <c r="F13" s="10"/>
      <c r="G13" s="10"/>
      <c r="H13" s="10"/>
    </row>
    <row r="15" spans="1:9" ht="21.75" customHeight="1" x14ac:dyDescent="0.25">
      <c r="B15" s="11" t="s">
        <v>8</v>
      </c>
      <c r="C15" s="11"/>
      <c r="D15" s="11"/>
      <c r="E15" s="11"/>
      <c r="F15" s="11"/>
      <c r="G15" s="11"/>
      <c r="H15" s="11"/>
    </row>
    <row r="16" spans="1:9" ht="6" customHeight="1" x14ac:dyDescent="0.25"/>
    <row r="17" spans="2:8" ht="16.5" customHeight="1" x14ac:dyDescent="0.25">
      <c r="B17" s="16" t="s">
        <v>9</v>
      </c>
      <c r="C17" s="9" t="s">
        <v>10</v>
      </c>
      <c r="D17" s="9"/>
      <c r="E17" s="9"/>
      <c r="F17" s="9"/>
      <c r="G17" s="9"/>
      <c r="H17" s="17" t="s">
        <v>11</v>
      </c>
    </row>
    <row r="18" spans="2:8" ht="16.5" customHeight="1" x14ac:dyDescent="0.25">
      <c r="B18" s="16" t="s">
        <v>12</v>
      </c>
      <c r="C18" s="9" t="s">
        <v>13</v>
      </c>
      <c r="D18" s="9"/>
      <c r="E18" s="9"/>
      <c r="F18" s="9"/>
      <c r="G18" s="9"/>
      <c r="H18" s="17" t="s">
        <v>14</v>
      </c>
    </row>
    <row r="19" spans="2:8" ht="16.5" customHeight="1" x14ac:dyDescent="0.25">
      <c r="B19" s="16" t="s">
        <v>15</v>
      </c>
      <c r="C19" s="9" t="s">
        <v>16</v>
      </c>
      <c r="D19" s="9"/>
      <c r="E19" s="9"/>
      <c r="F19" s="9"/>
      <c r="G19" s="9"/>
      <c r="H19" s="17" t="s">
        <v>14</v>
      </c>
    </row>
    <row r="20" spans="2:8" ht="16.5" customHeight="1" x14ac:dyDescent="0.25">
      <c r="B20" s="16" t="s">
        <v>17</v>
      </c>
      <c r="C20" s="9" t="s">
        <v>18</v>
      </c>
      <c r="D20" s="9"/>
      <c r="E20" s="9"/>
      <c r="F20" s="9"/>
      <c r="G20" s="9"/>
      <c r="H20" s="17" t="s">
        <v>19</v>
      </c>
    </row>
    <row r="21" spans="2:8" ht="16.5" customHeight="1" x14ac:dyDescent="0.25">
      <c r="B21" s="16" t="s">
        <v>20</v>
      </c>
      <c r="C21" s="9" t="s">
        <v>21</v>
      </c>
      <c r="D21" s="9"/>
      <c r="E21" s="9"/>
      <c r="F21" s="9"/>
      <c r="G21" s="9"/>
      <c r="H21" s="17" t="s">
        <v>22</v>
      </c>
    </row>
    <row r="22" spans="2:8" ht="16.5" customHeight="1" x14ac:dyDescent="0.25">
      <c r="B22" s="16" t="s">
        <v>23</v>
      </c>
      <c r="C22" s="9" t="s">
        <v>24</v>
      </c>
      <c r="D22" s="9"/>
      <c r="E22" s="9"/>
      <c r="F22" s="9"/>
      <c r="G22" s="9"/>
      <c r="H22" s="17" t="s">
        <v>25</v>
      </c>
    </row>
    <row r="24" spans="2:8" ht="15.75" customHeight="1" x14ac:dyDescent="0.25">
      <c r="B24" s="8" t="s">
        <v>26</v>
      </c>
      <c r="C24" s="8"/>
      <c r="D24" s="8"/>
      <c r="E24" s="8"/>
      <c r="F24" s="8"/>
      <c r="G24" s="8"/>
      <c r="H24" s="8"/>
    </row>
    <row r="25" spans="2:8" ht="31.5" customHeight="1" x14ac:dyDescent="0.25">
      <c r="B25" s="7" t="s">
        <v>27</v>
      </c>
      <c r="C25" s="7"/>
      <c r="D25" s="7"/>
      <c r="E25" s="7"/>
      <c r="F25" s="7"/>
      <c r="G25" s="7"/>
      <c r="H25" s="7"/>
    </row>
    <row r="26" spans="2:8" ht="6" customHeight="1" x14ac:dyDescent="0.25">
      <c r="B26" s="18"/>
      <c r="C26" s="19"/>
      <c r="D26" s="19"/>
      <c r="E26" s="19"/>
      <c r="F26" s="19"/>
      <c r="G26" s="19"/>
      <c r="H26" s="20"/>
    </row>
    <row r="28" spans="2:8" ht="21.75" customHeight="1" x14ac:dyDescent="0.25">
      <c r="B28" s="11" t="s">
        <v>28</v>
      </c>
      <c r="C28" s="11"/>
      <c r="D28" s="11"/>
      <c r="E28" s="11"/>
      <c r="F28" s="11"/>
      <c r="G28" s="11"/>
      <c r="H28" s="11"/>
    </row>
    <row r="29" spans="2:8" ht="6" customHeight="1" x14ac:dyDescent="0.25"/>
    <row r="30" spans="2:8" ht="15.75" customHeight="1" x14ac:dyDescent="0.25">
      <c r="B30" s="21" t="s">
        <v>29</v>
      </c>
      <c r="C30" s="9" t="s">
        <v>30</v>
      </c>
      <c r="D30" s="9"/>
      <c r="E30" s="9"/>
      <c r="F30" s="9"/>
      <c r="G30" s="9"/>
      <c r="H30" s="9"/>
    </row>
    <row r="31" spans="2:8" ht="15.75" customHeight="1" x14ac:dyDescent="0.25">
      <c r="B31" s="21" t="s">
        <v>29</v>
      </c>
      <c r="C31" s="9" t="s">
        <v>31</v>
      </c>
      <c r="D31" s="9"/>
      <c r="E31" s="9"/>
      <c r="F31" s="9"/>
      <c r="G31" s="9"/>
      <c r="H31" s="9"/>
    </row>
    <row r="32" spans="2:8" ht="15.75" customHeight="1" x14ac:dyDescent="0.25">
      <c r="B32" s="21" t="s">
        <v>29</v>
      </c>
      <c r="C32" s="9" t="s">
        <v>32</v>
      </c>
      <c r="D32" s="9"/>
      <c r="E32" s="9"/>
      <c r="F32" s="9"/>
      <c r="G32" s="9"/>
      <c r="H32" s="9"/>
    </row>
    <row r="33" spans="1:9" ht="15.75" customHeight="1" x14ac:dyDescent="0.25">
      <c r="B33" s="21" t="s">
        <v>29</v>
      </c>
      <c r="C33" s="9" t="s">
        <v>33</v>
      </c>
      <c r="D33" s="9"/>
      <c r="E33" s="9"/>
      <c r="F33" s="9"/>
      <c r="G33" s="9"/>
      <c r="H33" s="9"/>
    </row>
    <row r="34" spans="1:9" ht="15.75" customHeight="1" x14ac:dyDescent="0.25">
      <c r="B34" s="21" t="s">
        <v>29</v>
      </c>
      <c r="C34" s="9" t="s">
        <v>34</v>
      </c>
      <c r="D34" s="9"/>
      <c r="E34" s="9"/>
      <c r="F34" s="9"/>
      <c r="G34" s="9"/>
      <c r="H34" s="9"/>
    </row>
    <row r="35" spans="1:9" ht="15.75" customHeight="1" x14ac:dyDescent="0.25">
      <c r="B35" s="21" t="s">
        <v>29</v>
      </c>
      <c r="C35" s="9" t="s">
        <v>35</v>
      </c>
      <c r="D35" s="9"/>
      <c r="E35" s="9"/>
      <c r="F35" s="9"/>
      <c r="G35" s="9"/>
      <c r="H35" s="9"/>
    </row>
    <row r="36" spans="1:9" ht="15.75" customHeight="1" x14ac:dyDescent="0.25">
      <c r="B36" s="21" t="s">
        <v>29</v>
      </c>
      <c r="C36" s="9" t="s">
        <v>36</v>
      </c>
      <c r="D36" s="9"/>
      <c r="E36" s="9"/>
      <c r="F36" s="9"/>
      <c r="G36" s="9"/>
      <c r="H36" s="9"/>
    </row>
    <row r="38" spans="1:9" ht="21.75" customHeight="1" x14ac:dyDescent="0.25">
      <c r="B38" s="11" t="s">
        <v>37</v>
      </c>
      <c r="C38" s="11"/>
      <c r="D38" s="11"/>
      <c r="E38" s="11"/>
      <c r="F38" s="11"/>
      <c r="G38" s="11"/>
      <c r="H38" s="11"/>
    </row>
    <row r="39" spans="1:9" ht="6" customHeight="1" x14ac:dyDescent="0.25"/>
    <row r="40" spans="1:9" ht="18" customHeight="1" x14ac:dyDescent="0.25">
      <c r="B40" s="6" t="s">
        <v>38</v>
      </c>
      <c r="C40" s="6"/>
      <c r="D40" s="5" t="s">
        <v>39</v>
      </c>
      <c r="E40" s="5"/>
      <c r="F40" s="5"/>
      <c r="G40" s="5"/>
      <c r="H40" s="5"/>
    </row>
    <row r="41" spans="1:9" ht="33.75" customHeight="1" x14ac:dyDescent="0.25">
      <c r="B41" s="4" t="s">
        <v>40</v>
      </c>
      <c r="C41" s="4"/>
      <c r="D41" s="3" t="s">
        <v>41</v>
      </c>
      <c r="E41" s="3"/>
      <c r="F41" s="3"/>
      <c r="G41" s="3"/>
      <c r="H41" s="3"/>
    </row>
    <row r="43" spans="1:9" ht="15" customHeight="1" x14ac:dyDescent="0.25">
      <c r="B43" s="2" t="s">
        <v>42</v>
      </c>
      <c r="C43" s="2"/>
      <c r="D43" s="2"/>
      <c r="E43" s="2"/>
      <c r="F43" s="2"/>
      <c r="G43" s="2"/>
      <c r="H43" s="2"/>
    </row>
    <row r="44" spans="1:9" ht="75.75" customHeight="1" x14ac:dyDescent="0.25">
      <c r="B44" s="1" t="s">
        <v>43</v>
      </c>
      <c r="C44" s="1"/>
      <c r="D44" s="1"/>
      <c r="E44" s="1"/>
      <c r="F44" s="1"/>
      <c r="G44" s="1"/>
      <c r="H44" s="1"/>
    </row>
    <row r="46" spans="1:9" ht="7.5" customHeight="1" x14ac:dyDescent="0.25">
      <c r="A46" s="15"/>
      <c r="B46" s="15"/>
      <c r="C46" s="15"/>
      <c r="D46" s="15"/>
      <c r="E46" s="15"/>
      <c r="F46" s="15"/>
      <c r="G46" s="15"/>
      <c r="H46" s="15"/>
      <c r="I46" s="15"/>
    </row>
    <row r="47" spans="1:9" ht="19.5" customHeight="1" x14ac:dyDescent="0.25">
      <c r="A47" s="15"/>
      <c r="B47" s="98" t="s">
        <v>44</v>
      </c>
      <c r="C47" s="98"/>
      <c r="D47" s="98"/>
      <c r="E47" s="98"/>
      <c r="F47" s="98"/>
      <c r="G47" s="98"/>
      <c r="H47" s="98"/>
      <c r="I47" s="15"/>
    </row>
    <row r="48" spans="1:9" ht="15.75" customHeight="1" x14ac:dyDescent="0.25">
      <c r="A48" s="15"/>
      <c r="B48" s="99" t="s">
        <v>45</v>
      </c>
      <c r="C48" s="99"/>
      <c r="D48" s="99"/>
      <c r="E48" s="99"/>
      <c r="F48" s="99"/>
      <c r="G48" s="99"/>
      <c r="H48" s="99"/>
      <c r="I48" s="15"/>
    </row>
    <row r="49" spans="1:9" ht="15.75" customHeight="1" x14ac:dyDescent="0.25">
      <c r="A49" s="15"/>
      <c r="B49" s="100" t="s">
        <v>46</v>
      </c>
      <c r="C49" s="100"/>
      <c r="D49" s="100"/>
      <c r="E49" s="100"/>
      <c r="F49" s="100"/>
      <c r="G49" s="100"/>
      <c r="H49" s="100"/>
      <c r="I49" s="15"/>
    </row>
    <row r="50" spans="1:9" ht="9.75" customHeight="1" x14ac:dyDescent="0.25">
      <c r="A50" s="15"/>
      <c r="B50" s="15"/>
      <c r="C50" s="15"/>
      <c r="D50" s="15"/>
      <c r="E50" s="15"/>
      <c r="F50" s="15"/>
      <c r="G50" s="15"/>
      <c r="H50" s="15"/>
      <c r="I50" s="15"/>
    </row>
  </sheetData>
  <mergeCells count="35">
    <mergeCell ref="B43:H43"/>
    <mergeCell ref="B44:H44"/>
    <mergeCell ref="B47:H47"/>
    <mergeCell ref="B48:H48"/>
    <mergeCell ref="B49:H49"/>
    <mergeCell ref="B38:H38"/>
    <mergeCell ref="B40:C40"/>
    <mergeCell ref="D40:H40"/>
    <mergeCell ref="B41:C41"/>
    <mergeCell ref="D41:H41"/>
    <mergeCell ref="C32:H32"/>
    <mergeCell ref="C33:H33"/>
    <mergeCell ref="C34:H34"/>
    <mergeCell ref="C35:H35"/>
    <mergeCell ref="C36:H36"/>
    <mergeCell ref="B24:H24"/>
    <mergeCell ref="B25:H25"/>
    <mergeCell ref="B28:H28"/>
    <mergeCell ref="C30:H30"/>
    <mergeCell ref="C31:H31"/>
    <mergeCell ref="C18:G18"/>
    <mergeCell ref="C19:G19"/>
    <mergeCell ref="C20:G20"/>
    <mergeCell ref="C21:G21"/>
    <mergeCell ref="C22:G22"/>
    <mergeCell ref="B11:H11"/>
    <mergeCell ref="B12:H12"/>
    <mergeCell ref="B13:H13"/>
    <mergeCell ref="B15:H15"/>
    <mergeCell ref="C17:G17"/>
    <mergeCell ref="B2:H2"/>
    <mergeCell ref="B3:H3"/>
    <mergeCell ref="B4:H4"/>
    <mergeCell ref="B8:H8"/>
    <mergeCell ref="B10:H10"/>
  </mergeCells>
  <pageMargins left="0.4" right="0.4" top="0.35" bottom="0.35" header="0.511811023622047" footer="0.511811023622047"/>
  <pageSetup orientation="portrait" horizontalDpi="300" verticalDpi="30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67"/>
  <sheetViews>
    <sheetView showGridLines="0" zoomScaleNormal="100" workbookViewId="0">
      <pane ySplit="4" topLeftCell="A5" activePane="bottomLeft" state="frozen"/>
      <selection pane="bottomLeft" activeCell="K50" sqref="K50"/>
    </sheetView>
  </sheetViews>
  <sheetFormatPr defaultColWidth="8.7109375" defaultRowHeight="15" x14ac:dyDescent="0.25"/>
  <cols>
    <col min="1" max="1" width="3" customWidth="1"/>
    <col min="2" max="2" width="48.42578125" bestFit="1" customWidth="1"/>
    <col min="3" max="3" width="18" customWidth="1"/>
    <col min="4" max="4" width="3" customWidth="1"/>
    <col min="5" max="5" width="62" customWidth="1"/>
    <col min="6" max="6" width="3" customWidth="1"/>
  </cols>
  <sheetData>
    <row r="1" spans="1:6" ht="7.5" customHeight="1" x14ac:dyDescent="0.25">
      <c r="A1" s="15"/>
      <c r="B1" s="15"/>
      <c r="C1" s="15"/>
      <c r="D1" s="15"/>
      <c r="E1" s="15"/>
      <c r="F1" s="15"/>
    </row>
    <row r="2" spans="1:6" ht="27.75" customHeight="1" x14ac:dyDescent="0.25">
      <c r="A2" s="15"/>
      <c r="B2" s="101" t="s">
        <v>47</v>
      </c>
      <c r="C2" s="101"/>
      <c r="D2" s="101"/>
      <c r="E2" s="101"/>
      <c r="F2" s="15"/>
    </row>
    <row r="3" spans="1:6" ht="18" customHeight="1" x14ac:dyDescent="0.25">
      <c r="A3" s="15"/>
      <c r="B3" s="102" t="s">
        <v>48</v>
      </c>
      <c r="C3" s="102"/>
      <c r="D3" s="102"/>
      <c r="E3" s="102"/>
      <c r="F3" s="15"/>
    </row>
    <row r="4" spans="1:6" ht="7.5" customHeight="1" x14ac:dyDescent="0.25">
      <c r="A4" s="15"/>
      <c r="B4" s="15"/>
      <c r="C4" s="15"/>
      <c r="D4" s="15"/>
      <c r="E4" s="15"/>
      <c r="F4" s="15"/>
    </row>
    <row r="5" spans="1:6" ht="9.75" customHeight="1" x14ac:dyDescent="0.25"/>
    <row r="6" spans="1:6" ht="19.5" customHeight="1" x14ac:dyDescent="0.25">
      <c r="B6" s="103" t="s">
        <v>49</v>
      </c>
      <c r="C6" s="103"/>
      <c r="D6" s="103"/>
      <c r="E6" s="103"/>
    </row>
    <row r="7" spans="1:6" ht="18" customHeight="1" x14ac:dyDescent="0.25">
      <c r="B7" s="22" t="s">
        <v>50</v>
      </c>
      <c r="C7" s="23" t="s">
        <v>51</v>
      </c>
      <c r="E7" s="22" t="s">
        <v>52</v>
      </c>
    </row>
    <row r="8" spans="1:6" ht="25.5" customHeight="1" x14ac:dyDescent="0.25">
      <c r="B8" s="24" t="s">
        <v>53</v>
      </c>
      <c r="C8" s="25" t="s">
        <v>54</v>
      </c>
      <c r="E8" s="26" t="s">
        <v>55</v>
      </c>
    </row>
    <row r="9" spans="1:6" ht="25.5" customHeight="1" x14ac:dyDescent="0.25">
      <c r="B9" s="24" t="s">
        <v>56</v>
      </c>
      <c r="C9" s="27">
        <v>46296</v>
      </c>
      <c r="E9" s="26" t="s">
        <v>57</v>
      </c>
    </row>
    <row r="10" spans="1:6" ht="25.5" customHeight="1" x14ac:dyDescent="0.25">
      <c r="B10" s="24" t="s">
        <v>58</v>
      </c>
      <c r="C10" s="25" t="s">
        <v>59</v>
      </c>
      <c r="E10" s="26" t="s">
        <v>60</v>
      </c>
    </row>
    <row r="11" spans="1:6" ht="25.5" customHeight="1" x14ac:dyDescent="0.25">
      <c r="B11" s="24" t="s">
        <v>61</v>
      </c>
      <c r="C11" s="25" t="s">
        <v>62</v>
      </c>
      <c r="E11" s="26" t="s">
        <v>63</v>
      </c>
    </row>
    <row r="12" spans="1:6" ht="25.5" customHeight="1" x14ac:dyDescent="0.25">
      <c r="B12" s="24" t="s">
        <v>62</v>
      </c>
      <c r="C12" s="28">
        <v>78000</v>
      </c>
      <c r="E12" s="26" t="s">
        <v>64</v>
      </c>
    </row>
    <row r="13" spans="1:6" ht="25.5" customHeight="1" x14ac:dyDescent="0.25">
      <c r="B13" s="24" t="s">
        <v>65</v>
      </c>
      <c r="C13" s="29">
        <v>37.5</v>
      </c>
      <c r="E13" s="26" t="s">
        <v>66</v>
      </c>
    </row>
    <row r="14" spans="1:6" ht="25.5" customHeight="1" x14ac:dyDescent="0.25">
      <c r="B14" s="24" t="s">
        <v>67</v>
      </c>
      <c r="C14" s="30">
        <v>40</v>
      </c>
      <c r="E14" s="26" t="s">
        <v>68</v>
      </c>
    </row>
    <row r="15" spans="1:6" ht="25.5" customHeight="1" x14ac:dyDescent="0.25">
      <c r="B15" s="24" t="s">
        <v>69</v>
      </c>
      <c r="C15" s="31">
        <v>52</v>
      </c>
      <c r="E15" s="26" t="s">
        <v>70</v>
      </c>
    </row>
    <row r="16" spans="1:6" ht="12" customHeight="1" x14ac:dyDescent="0.25"/>
    <row r="17" spans="2:5" ht="19.5" customHeight="1" x14ac:dyDescent="0.25">
      <c r="B17" s="103" t="s">
        <v>71</v>
      </c>
      <c r="C17" s="103"/>
      <c r="D17" s="103"/>
      <c r="E17" s="103"/>
    </row>
    <row r="18" spans="2:5" ht="18" customHeight="1" x14ac:dyDescent="0.25">
      <c r="B18" s="22" t="s">
        <v>50</v>
      </c>
      <c r="C18" s="23" t="s">
        <v>72</v>
      </c>
      <c r="E18" s="22" t="s">
        <v>52</v>
      </c>
    </row>
    <row r="19" spans="2:5" ht="21.75" customHeight="1" x14ac:dyDescent="0.25">
      <c r="B19" s="32" t="s">
        <v>73</v>
      </c>
      <c r="C19" s="33">
        <f>IFERROR(IF($C$11="Hourly",$C$13*$C$14*$C$15,$C$12),0)</f>
        <v>78000</v>
      </c>
      <c r="E19" s="26" t="s">
        <v>74</v>
      </c>
    </row>
    <row r="20" spans="2:5" ht="25.5" customHeight="1" x14ac:dyDescent="0.25">
      <c r="B20" s="24" t="s">
        <v>75</v>
      </c>
      <c r="C20" s="28">
        <v>4000</v>
      </c>
      <c r="E20" s="26" t="s">
        <v>76</v>
      </c>
    </row>
    <row r="21" spans="2:5" ht="25.5" customHeight="1" x14ac:dyDescent="0.25">
      <c r="B21" s="24" t="s">
        <v>77</v>
      </c>
      <c r="C21" s="28">
        <v>0</v>
      </c>
      <c r="E21" s="26" t="s">
        <v>78</v>
      </c>
    </row>
    <row r="22" spans="2:5" ht="25.5" customHeight="1" x14ac:dyDescent="0.25">
      <c r="B22" s="24" t="s">
        <v>79</v>
      </c>
      <c r="C22" s="28">
        <v>0</v>
      </c>
      <c r="E22" s="26" t="s">
        <v>80</v>
      </c>
    </row>
    <row r="23" spans="2:5" ht="21.75" customHeight="1" x14ac:dyDescent="0.25">
      <c r="B23" s="34" t="s">
        <v>81</v>
      </c>
      <c r="C23" s="35">
        <f>SUM(C19:C22)</f>
        <v>82000</v>
      </c>
    </row>
    <row r="24" spans="2:5" ht="12" customHeight="1" x14ac:dyDescent="0.25"/>
    <row r="25" spans="2:5" ht="19.5" customHeight="1" x14ac:dyDescent="0.25">
      <c r="B25" s="103" t="s">
        <v>82</v>
      </c>
      <c r="C25" s="103"/>
      <c r="D25" s="103"/>
      <c r="E25" s="103"/>
    </row>
    <row r="26" spans="2:5" ht="18" customHeight="1" x14ac:dyDescent="0.25">
      <c r="B26" s="22" t="s">
        <v>50</v>
      </c>
      <c r="C26" s="23" t="s">
        <v>51</v>
      </c>
      <c r="E26" s="22" t="s">
        <v>52</v>
      </c>
    </row>
    <row r="27" spans="2:5" ht="57.75" customHeight="1" x14ac:dyDescent="0.25">
      <c r="B27" s="24" t="s">
        <v>83</v>
      </c>
      <c r="C27" s="36">
        <v>0.12</v>
      </c>
      <c r="E27" s="26" t="s">
        <v>84</v>
      </c>
    </row>
    <row r="28" spans="2:5" ht="21.75" customHeight="1" x14ac:dyDescent="0.25">
      <c r="B28" s="34" t="s">
        <v>85</v>
      </c>
      <c r="C28" s="35">
        <f>IFERROR(C23*C27,0)</f>
        <v>9840</v>
      </c>
    </row>
    <row r="29" spans="2:5" ht="12" customHeight="1" x14ac:dyDescent="0.25"/>
    <row r="30" spans="2:5" ht="19.5" customHeight="1" x14ac:dyDescent="0.25">
      <c r="B30" s="103" t="s">
        <v>86</v>
      </c>
      <c r="C30" s="103"/>
      <c r="D30" s="103"/>
      <c r="E30" s="103"/>
    </row>
    <row r="31" spans="2:5" ht="18" customHeight="1" x14ac:dyDescent="0.25">
      <c r="B31" s="22" t="s">
        <v>50</v>
      </c>
      <c r="C31" s="23" t="s">
        <v>72</v>
      </c>
      <c r="E31" s="22" t="s">
        <v>52</v>
      </c>
    </row>
    <row r="32" spans="2:5" ht="25.5" customHeight="1" x14ac:dyDescent="0.25">
      <c r="B32" s="24" t="s">
        <v>87</v>
      </c>
      <c r="C32" s="28">
        <v>4800</v>
      </c>
      <c r="E32" s="26" t="s">
        <v>88</v>
      </c>
    </row>
    <row r="33" spans="2:5" ht="25.5" customHeight="1" x14ac:dyDescent="0.25">
      <c r="B33" s="24" t="s">
        <v>89</v>
      </c>
      <c r="C33" s="28">
        <v>2340</v>
      </c>
      <c r="E33" s="26" t="s">
        <v>90</v>
      </c>
    </row>
    <row r="34" spans="2:5" ht="25.5" customHeight="1" x14ac:dyDescent="0.25">
      <c r="B34" s="24" t="s">
        <v>91</v>
      </c>
      <c r="C34" s="28">
        <v>600</v>
      </c>
      <c r="E34" s="26" t="s">
        <v>92</v>
      </c>
    </row>
    <row r="35" spans="2:5" ht="21.75" customHeight="1" x14ac:dyDescent="0.25">
      <c r="B35" s="34" t="s">
        <v>93</v>
      </c>
      <c r="C35" s="35">
        <f>SUM(C32:C34)</f>
        <v>7740</v>
      </c>
    </row>
    <row r="36" spans="2:5" ht="12" customHeight="1" x14ac:dyDescent="0.25"/>
    <row r="37" spans="2:5" ht="19.5" customHeight="1" x14ac:dyDescent="0.25">
      <c r="B37" s="103" t="s">
        <v>94</v>
      </c>
      <c r="C37" s="103"/>
      <c r="D37" s="103"/>
      <c r="E37" s="103"/>
    </row>
    <row r="38" spans="2:5" ht="18" customHeight="1" x14ac:dyDescent="0.25">
      <c r="B38" s="22" t="s">
        <v>50</v>
      </c>
      <c r="C38" s="23" t="s">
        <v>72</v>
      </c>
      <c r="E38" s="22" t="s">
        <v>52</v>
      </c>
    </row>
    <row r="39" spans="2:5" ht="25.5" customHeight="1" x14ac:dyDescent="0.25">
      <c r="B39" s="24" t="s">
        <v>95</v>
      </c>
      <c r="C39" s="28">
        <v>1800</v>
      </c>
      <c r="E39" s="26" t="s">
        <v>96</v>
      </c>
    </row>
    <row r="40" spans="2:5" ht="25.5" customHeight="1" x14ac:dyDescent="0.25">
      <c r="B40" s="24" t="s">
        <v>97</v>
      </c>
      <c r="C40" s="28">
        <v>720</v>
      </c>
      <c r="E40" s="26" t="s">
        <v>98</v>
      </c>
    </row>
    <row r="41" spans="2:5" ht="25.5" customHeight="1" x14ac:dyDescent="0.25">
      <c r="B41" s="24" t="s">
        <v>99</v>
      </c>
      <c r="C41" s="28">
        <v>2400</v>
      </c>
      <c r="E41" s="26" t="s">
        <v>100</v>
      </c>
    </row>
    <row r="42" spans="2:5" ht="25.5" customHeight="1" x14ac:dyDescent="0.25">
      <c r="B42" s="24" t="s">
        <v>101</v>
      </c>
      <c r="C42" s="28">
        <v>1500</v>
      </c>
      <c r="E42" s="26" t="s">
        <v>102</v>
      </c>
    </row>
    <row r="43" spans="2:5" ht="25.5" customHeight="1" x14ac:dyDescent="0.25">
      <c r="B43" s="24" t="s">
        <v>103</v>
      </c>
      <c r="C43" s="28">
        <v>600</v>
      </c>
      <c r="E43" s="26" t="s">
        <v>104</v>
      </c>
    </row>
    <row r="44" spans="2:5" ht="21.75" customHeight="1" x14ac:dyDescent="0.25">
      <c r="B44" s="34" t="s">
        <v>105</v>
      </c>
      <c r="C44" s="35">
        <f>SUM(C39:C43)</f>
        <v>7020</v>
      </c>
    </row>
    <row r="45" spans="2:5" ht="12" customHeight="1" x14ac:dyDescent="0.25"/>
    <row r="46" spans="2:5" ht="19.5" customHeight="1" x14ac:dyDescent="0.25">
      <c r="B46" s="103" t="s">
        <v>106</v>
      </c>
      <c r="C46" s="103"/>
      <c r="D46" s="103"/>
      <c r="E46" s="103"/>
    </row>
    <row r="47" spans="2:5" ht="18" customHeight="1" x14ac:dyDescent="0.25">
      <c r="B47" s="22" t="s">
        <v>50</v>
      </c>
      <c r="C47" s="23" t="s">
        <v>107</v>
      </c>
      <c r="E47" s="22" t="s">
        <v>52</v>
      </c>
    </row>
    <row r="48" spans="2:5" ht="25.5" customHeight="1" x14ac:dyDescent="0.25">
      <c r="B48" s="24" t="s">
        <v>108</v>
      </c>
      <c r="C48" s="28">
        <v>8500</v>
      </c>
      <c r="E48" s="26" t="s">
        <v>109</v>
      </c>
    </row>
    <row r="49" spans="2:5" ht="25.5" customHeight="1" x14ac:dyDescent="0.25">
      <c r="B49" s="24" t="s">
        <v>110</v>
      </c>
      <c r="C49" s="28">
        <v>0</v>
      </c>
      <c r="E49" s="26" t="s">
        <v>111</v>
      </c>
    </row>
    <row r="50" spans="2:5" ht="25.5" customHeight="1" x14ac:dyDescent="0.25">
      <c r="B50" s="24" t="s">
        <v>112</v>
      </c>
      <c r="C50" s="28">
        <v>2800</v>
      </c>
      <c r="E50" s="26" t="s">
        <v>113</v>
      </c>
    </row>
    <row r="51" spans="2:5" ht="25.5" customHeight="1" x14ac:dyDescent="0.25">
      <c r="B51" s="24" t="s">
        <v>114</v>
      </c>
      <c r="C51" s="28">
        <v>1200</v>
      </c>
      <c r="E51" s="26" t="s">
        <v>115</v>
      </c>
    </row>
    <row r="52" spans="2:5" ht="25.5" customHeight="1" x14ac:dyDescent="0.25">
      <c r="B52" s="24" t="s">
        <v>116</v>
      </c>
      <c r="C52" s="28">
        <v>1500</v>
      </c>
      <c r="E52" s="26" t="s">
        <v>117</v>
      </c>
    </row>
    <row r="53" spans="2:5" ht="25.5" customHeight="1" x14ac:dyDescent="0.25">
      <c r="B53" s="24" t="s">
        <v>118</v>
      </c>
      <c r="C53" s="28">
        <v>500</v>
      </c>
      <c r="E53" s="26" t="s">
        <v>119</v>
      </c>
    </row>
    <row r="54" spans="2:5" ht="21.75" customHeight="1" x14ac:dyDescent="0.25">
      <c r="B54" s="34" t="s">
        <v>120</v>
      </c>
      <c r="C54" s="35">
        <f>SUM(C48:C53)</f>
        <v>14500</v>
      </c>
    </row>
    <row r="55" spans="2:5" ht="13.5" customHeight="1" x14ac:dyDescent="0.25"/>
    <row r="56" spans="2:5" ht="19.5" customHeight="1" x14ac:dyDescent="0.25">
      <c r="B56" s="104" t="s">
        <v>121</v>
      </c>
      <c r="C56" s="104"/>
      <c r="D56" s="104"/>
      <c r="E56" s="104"/>
    </row>
    <row r="57" spans="2:5" ht="18" customHeight="1" x14ac:dyDescent="0.25">
      <c r="B57" s="37" t="s">
        <v>122</v>
      </c>
      <c r="C57" s="38" t="s">
        <v>123</v>
      </c>
      <c r="E57" s="22" t="s">
        <v>52</v>
      </c>
    </row>
    <row r="58" spans="2:5" ht="18.75" customHeight="1" x14ac:dyDescent="0.25">
      <c r="B58" s="39" t="s">
        <v>81</v>
      </c>
      <c r="C58" s="40">
        <f>C23</f>
        <v>82000</v>
      </c>
    </row>
    <row r="59" spans="2:5" ht="18.75" customHeight="1" x14ac:dyDescent="0.25">
      <c r="B59" s="39" t="s">
        <v>85</v>
      </c>
      <c r="C59" s="40">
        <f>C28</f>
        <v>9840</v>
      </c>
    </row>
    <row r="60" spans="2:5" ht="18.75" customHeight="1" x14ac:dyDescent="0.25">
      <c r="B60" s="39" t="s">
        <v>93</v>
      </c>
      <c r="C60" s="40">
        <f>C35</f>
        <v>7740</v>
      </c>
    </row>
    <row r="61" spans="2:5" ht="18.75" customHeight="1" x14ac:dyDescent="0.25">
      <c r="B61" s="39" t="s">
        <v>105</v>
      </c>
      <c r="C61" s="40">
        <f>C44</f>
        <v>7020</v>
      </c>
    </row>
    <row r="62" spans="2:5" ht="24" customHeight="1" x14ac:dyDescent="0.25">
      <c r="B62" s="41" t="s">
        <v>124</v>
      </c>
      <c r="C62" s="42">
        <f>SUM(C58:C61)</f>
        <v>106600</v>
      </c>
      <c r="E62" s="26" t="s">
        <v>125</v>
      </c>
    </row>
    <row r="63" spans="2:5" ht="21.75" customHeight="1" x14ac:dyDescent="0.25">
      <c r="B63" s="43" t="s">
        <v>126</v>
      </c>
      <c r="C63" s="44">
        <f>IFERROR(C62/12,0)</f>
        <v>8883.3333333333339</v>
      </c>
      <c r="E63" s="26" t="s">
        <v>127</v>
      </c>
    </row>
    <row r="64" spans="2:5" ht="18.75" customHeight="1" x14ac:dyDescent="0.25">
      <c r="B64" s="45" t="s">
        <v>128</v>
      </c>
      <c r="C64" s="46">
        <f>C54</f>
        <v>14500</v>
      </c>
    </row>
    <row r="65" spans="2:5" ht="24" customHeight="1" x14ac:dyDescent="0.25">
      <c r="B65" s="47" t="s">
        <v>129</v>
      </c>
      <c r="C65" s="48">
        <f>C62+C64</f>
        <v>121100</v>
      </c>
      <c r="E65" s="26" t="s">
        <v>130</v>
      </c>
    </row>
    <row r="67" spans="2:5" ht="27.75" customHeight="1" x14ac:dyDescent="0.25">
      <c r="B67" s="105" t="s">
        <v>131</v>
      </c>
      <c r="C67" s="105"/>
      <c r="D67" s="105"/>
      <c r="E67" s="105"/>
    </row>
  </sheetData>
  <sheetProtection sheet="1" formatCells="0" sort="0" autoFilter="0"/>
  <mergeCells count="10">
    <mergeCell ref="B30:E30"/>
    <mergeCell ref="B37:E37"/>
    <mergeCell ref="B46:E46"/>
    <mergeCell ref="B56:E56"/>
    <mergeCell ref="B67:E67"/>
    <mergeCell ref="B2:E2"/>
    <mergeCell ref="B3:E3"/>
    <mergeCell ref="B6:E6"/>
    <mergeCell ref="B17:E17"/>
    <mergeCell ref="B25:E25"/>
  </mergeCells>
  <dataValidations count="7">
    <dataValidation type="list" showErrorMessage="1" errorTitle="Compensation Basis" error="Choose Annual Salary or Hourly." sqref="C11" xr:uid="{00000000-0002-0000-0100-000000000000}">
      <formula1>"Annual Salary,Hourly"</formula1>
      <formula2>0</formula2>
    </dataValidation>
    <dataValidation type="list" showErrorMessage="1" errorTitle="Employment Type" error="Choose Full-Time or Part-Time." sqref="C10" xr:uid="{00000000-0002-0000-0100-000001000000}">
      <formula1>"Full-Time,Part-Time"</formula1>
      <formula2>0</formula2>
    </dataValidation>
    <dataValidation type="date" showErrorMessage="1" errorTitle="Expected Start Date" error="Enter a valid start date." sqref="C9" xr:uid="{00000000-0002-0000-0100-000002000000}">
      <formula1>DATE(2020,1,1)</formula1>
      <formula2>DATE(2060,12,31)</formula2>
    </dataValidation>
    <dataValidation type="decimal" showErrorMessage="1" errorTitle="Amount" error="Enter a dollar amount of zero or more." sqref="C12:C13 C20:C22 C32:C34 C39:C43 C48:C53" xr:uid="{00000000-0002-0000-0100-000003000000}">
      <formula1>0</formula1>
      <formula2>100000000</formula2>
    </dataValidation>
    <dataValidation type="decimal" showInputMessage="1" showErrorMessage="1" errorTitle="Employer Payroll Burden %" error="Enter a percentage between 0% and 100%." promptTitle="Employer Payroll Burden %" prompt="Your own estimate of employer-paid payroll costs as a percentage of direct compensation. Rates vary by province and employer." sqref="C27" xr:uid="{00000000-0002-0000-0100-000004000000}">
      <formula1>0</formula1>
      <formula2>1</formula2>
    </dataValidation>
    <dataValidation type="decimal" showErrorMessage="1" errorTitle="Hours Per Week" error="Enter hours per week between 0 and 80." sqref="C14" xr:uid="{00000000-0002-0000-0100-000005000000}">
      <formula1>0</formula1>
      <formula2>80</formula2>
    </dataValidation>
    <dataValidation type="whole" showErrorMessage="1" errorTitle="Weeks Per Year" error="Enter weeks per year between 0 and 53." sqref="C15" xr:uid="{00000000-0002-0000-0100-000006000000}">
      <formula1>0</formula1>
      <formula2>53</formula2>
    </dataValidation>
  </dataValidations>
  <pageMargins left="0.75" right="0.75" top="1" bottom="1" header="0.511811023622047" footer="0.511811023622047"/>
  <pageSetup fitToHeight="0" orientation="portrait" horizontalDpi="300" verticalDpi="300"/>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39"/>
  <sheetViews>
    <sheetView showGridLines="0" zoomScaleNormal="100" workbookViewId="0">
      <pane ySplit="4" topLeftCell="A5" activePane="bottomLeft" state="frozen"/>
      <selection pane="bottomLeft"/>
    </sheetView>
  </sheetViews>
  <sheetFormatPr defaultColWidth="8.7109375" defaultRowHeight="15" x14ac:dyDescent="0.25"/>
  <cols>
    <col min="1" max="1" width="3" customWidth="1"/>
    <col min="2" max="2" width="44" customWidth="1"/>
    <col min="3" max="3" width="18" customWidth="1"/>
    <col min="4" max="4" width="3" customWidth="1"/>
    <col min="5" max="5" width="62" customWidth="1"/>
    <col min="6" max="6" width="3" customWidth="1"/>
  </cols>
  <sheetData>
    <row r="1" spans="1:6" ht="7.5" customHeight="1" x14ac:dyDescent="0.25">
      <c r="A1" s="15"/>
      <c r="B1" s="15"/>
      <c r="C1" s="15"/>
      <c r="D1" s="15"/>
      <c r="E1" s="15"/>
      <c r="F1" s="15"/>
    </row>
    <row r="2" spans="1:6" ht="27.75" customHeight="1" x14ac:dyDescent="0.25">
      <c r="A2" s="15"/>
      <c r="B2" s="101" t="s">
        <v>132</v>
      </c>
      <c r="C2" s="101"/>
      <c r="D2" s="101"/>
      <c r="E2" s="101"/>
      <c r="F2" s="15"/>
    </row>
    <row r="3" spans="1:6" ht="18" customHeight="1" x14ac:dyDescent="0.25">
      <c r="A3" s="15"/>
      <c r="B3" s="102" t="s">
        <v>133</v>
      </c>
      <c r="C3" s="102"/>
      <c r="D3" s="102"/>
      <c r="E3" s="102"/>
      <c r="F3" s="15"/>
    </row>
    <row r="4" spans="1:6" ht="7.5" customHeight="1" x14ac:dyDescent="0.25">
      <c r="A4" s="15"/>
      <c r="B4" s="15"/>
      <c r="C4" s="15"/>
      <c r="D4" s="15"/>
      <c r="E4" s="15"/>
      <c r="F4" s="15"/>
    </row>
    <row r="5" spans="1:6" ht="9.75" customHeight="1" x14ac:dyDescent="0.25"/>
    <row r="6" spans="1:6" ht="19.5" customHeight="1" x14ac:dyDescent="0.25">
      <c r="B6" s="103" t="s">
        <v>134</v>
      </c>
      <c r="C6" s="103"/>
      <c r="D6" s="103"/>
      <c r="E6" s="103"/>
    </row>
    <row r="7" spans="1:6" ht="18" customHeight="1" x14ac:dyDescent="0.25">
      <c r="B7" s="22" t="s">
        <v>50</v>
      </c>
      <c r="C7" s="23" t="s">
        <v>135</v>
      </c>
      <c r="E7" s="22" t="s">
        <v>52</v>
      </c>
    </row>
    <row r="8" spans="1:6" ht="27.75" customHeight="1" x14ac:dyDescent="0.25">
      <c r="B8" s="24" t="s">
        <v>136</v>
      </c>
      <c r="C8" s="28">
        <v>125000</v>
      </c>
      <c r="E8" s="26" t="s">
        <v>137</v>
      </c>
    </row>
    <row r="9" spans="1:6" ht="27.75" customHeight="1" x14ac:dyDescent="0.25">
      <c r="B9" s="24" t="s">
        <v>138</v>
      </c>
      <c r="C9" s="28">
        <v>68750</v>
      </c>
      <c r="E9" s="26" t="s">
        <v>139</v>
      </c>
    </row>
    <row r="10" spans="1:6" ht="42" customHeight="1" x14ac:dyDescent="0.25">
      <c r="B10" s="24" t="s">
        <v>140</v>
      </c>
      <c r="C10" s="28">
        <v>57000</v>
      </c>
      <c r="E10" s="26" t="s">
        <v>141</v>
      </c>
    </row>
    <row r="11" spans="1:6" ht="21.75" customHeight="1" x14ac:dyDescent="0.25">
      <c r="B11" s="34" t="s">
        <v>142</v>
      </c>
      <c r="C11" s="49">
        <f>IFERROR(C9-C10,0)</f>
        <v>11750</v>
      </c>
      <c r="E11" s="26" t="s">
        <v>143</v>
      </c>
    </row>
    <row r="12" spans="1:6" ht="12" customHeight="1" x14ac:dyDescent="0.25"/>
    <row r="13" spans="1:6" ht="19.5" customHeight="1" x14ac:dyDescent="0.25">
      <c r="B13" s="103" t="s">
        <v>144</v>
      </c>
      <c r="C13" s="103"/>
      <c r="D13" s="103"/>
      <c r="E13" s="103"/>
    </row>
    <row r="14" spans="1:6" ht="18" customHeight="1" x14ac:dyDescent="0.25">
      <c r="B14" s="22" t="s">
        <v>145</v>
      </c>
      <c r="C14" s="23" t="s">
        <v>146</v>
      </c>
      <c r="E14" s="22" t="s">
        <v>147</v>
      </c>
    </row>
    <row r="15" spans="1:6" ht="31.5" customHeight="1" x14ac:dyDescent="0.25">
      <c r="B15" s="32" t="s">
        <v>148</v>
      </c>
      <c r="C15" s="50">
        <f>IFERROR(IF(C8=0,0,C9/C8),0)</f>
        <v>0.55000000000000004</v>
      </c>
      <c r="E15" s="26" t="s">
        <v>149</v>
      </c>
    </row>
    <row r="16" spans="1:6" ht="21.75" customHeight="1" x14ac:dyDescent="0.25">
      <c r="B16" s="32" t="s">
        <v>150</v>
      </c>
      <c r="C16" s="50">
        <f>IFERROR(IF(C8=0,0,C11/C8),0)</f>
        <v>9.4E-2</v>
      </c>
      <c r="E16" s="26" t="s">
        <v>151</v>
      </c>
    </row>
    <row r="17" spans="2:5" ht="21.75" customHeight="1" x14ac:dyDescent="0.25">
      <c r="B17" s="32" t="s">
        <v>152</v>
      </c>
      <c r="C17" s="33">
        <f>C8*12</f>
        <v>1500000</v>
      </c>
      <c r="E17" s="26" t="s">
        <v>153</v>
      </c>
    </row>
    <row r="18" spans="2:5" ht="21.75" customHeight="1" x14ac:dyDescent="0.25">
      <c r="B18" s="32" t="s">
        <v>154</v>
      </c>
      <c r="C18" s="33">
        <f>C11*12</f>
        <v>141000</v>
      </c>
      <c r="E18" s="26" t="s">
        <v>155</v>
      </c>
    </row>
    <row r="19" spans="2:5" ht="12" customHeight="1" x14ac:dyDescent="0.25"/>
    <row r="20" spans="2:5" ht="19.5" customHeight="1" x14ac:dyDescent="0.25">
      <c r="B20" s="103" t="s">
        <v>156</v>
      </c>
      <c r="C20" s="103"/>
      <c r="D20" s="103"/>
      <c r="E20" s="103"/>
    </row>
    <row r="21" spans="2:5" ht="18" customHeight="1" x14ac:dyDescent="0.25">
      <c r="B21" s="22" t="s">
        <v>50</v>
      </c>
      <c r="C21" s="23" t="s">
        <v>51</v>
      </c>
      <c r="E21" s="22" t="s">
        <v>52</v>
      </c>
    </row>
    <row r="22" spans="2:5" ht="42" customHeight="1" x14ac:dyDescent="0.25">
      <c r="B22" s="24" t="s">
        <v>157</v>
      </c>
      <c r="C22" s="28">
        <v>96000</v>
      </c>
      <c r="E22" s="26" t="s">
        <v>158</v>
      </c>
    </row>
    <row r="23" spans="2:5" ht="42" customHeight="1" x14ac:dyDescent="0.25">
      <c r="B23" s="24" t="s">
        <v>159</v>
      </c>
      <c r="C23" s="28">
        <v>45000</v>
      </c>
      <c r="E23" s="26" t="s">
        <v>160</v>
      </c>
    </row>
    <row r="24" spans="2:5" ht="21.75" customHeight="1" x14ac:dyDescent="0.25">
      <c r="B24" s="34" t="s">
        <v>161</v>
      </c>
      <c r="C24" s="49">
        <f>IFERROR(C22-C23,0)</f>
        <v>51000</v>
      </c>
      <c r="E24" s="26" t="s">
        <v>162</v>
      </c>
    </row>
    <row r="25" spans="2:5" ht="12" customHeight="1" x14ac:dyDescent="0.25"/>
    <row r="26" spans="2:5" ht="19.5" customHeight="1" x14ac:dyDescent="0.25">
      <c r="B26" s="103" t="s">
        <v>163</v>
      </c>
      <c r="C26" s="103"/>
      <c r="D26" s="103"/>
      <c r="E26" s="103"/>
    </row>
    <row r="27" spans="2:5" ht="18" customHeight="1" x14ac:dyDescent="0.25">
      <c r="B27" s="22" t="s">
        <v>50</v>
      </c>
      <c r="C27" s="23" t="s">
        <v>51</v>
      </c>
      <c r="E27" s="22" t="s">
        <v>52</v>
      </c>
    </row>
    <row r="28" spans="2:5" ht="57.75" customHeight="1" x14ac:dyDescent="0.25">
      <c r="B28" s="24" t="s">
        <v>164</v>
      </c>
      <c r="C28" s="28">
        <v>22000</v>
      </c>
      <c r="E28" s="26" t="s">
        <v>165</v>
      </c>
    </row>
    <row r="29" spans="2:5" ht="36" customHeight="1" x14ac:dyDescent="0.25">
      <c r="B29" s="24" t="s">
        <v>166</v>
      </c>
      <c r="C29" s="51">
        <v>4</v>
      </c>
      <c r="E29" s="26" t="s">
        <v>167</v>
      </c>
    </row>
    <row r="30" spans="2:5" ht="21.75" customHeight="1" x14ac:dyDescent="0.25">
      <c r="B30" s="24" t="s">
        <v>168</v>
      </c>
      <c r="C30" s="106" t="str">
        <f>IFERROR(IF(C29&lt;=1,"No ramp-up period — the hire is treated as fully productive from Month 1.","Straight-line ramp: "&amp;TEXT(1/C29,"0%")&amp;" productive in Month 1, reaching 100% in Month "&amp;C29&amp;"."),"")</f>
        <v>Straight-line ramp: 25% productive in Month 1, reaching 100% in Month 4.</v>
      </c>
      <c r="D30" s="106"/>
      <c r="E30" s="106"/>
    </row>
    <row r="31" spans="2:5" ht="13.5" customHeight="1" x14ac:dyDescent="0.25"/>
    <row r="32" spans="2:5" ht="19.5" customHeight="1" x14ac:dyDescent="0.25">
      <c r="B32" s="107" t="s">
        <v>169</v>
      </c>
      <c r="C32" s="107"/>
      <c r="D32" s="107"/>
      <c r="E32" s="107"/>
    </row>
    <row r="33" spans="2:5" ht="21.75" customHeight="1" x14ac:dyDescent="0.25">
      <c r="B33" s="108" t="s">
        <v>170</v>
      </c>
      <c r="C33" s="108"/>
      <c r="D33" s="108"/>
      <c r="E33" s="108"/>
    </row>
    <row r="34" spans="2:5" ht="21.75" customHeight="1" x14ac:dyDescent="0.25">
      <c r="B34" s="108"/>
      <c r="C34" s="108"/>
      <c r="D34" s="108"/>
      <c r="E34" s="108"/>
    </row>
    <row r="35" spans="2:5" x14ac:dyDescent="0.25">
      <c r="B35" s="52"/>
      <c r="E35" s="53"/>
    </row>
    <row r="36" spans="2:5" ht="21.75" customHeight="1" x14ac:dyDescent="0.25">
      <c r="B36" s="109" t="s">
        <v>171</v>
      </c>
      <c r="C36" s="109"/>
      <c r="D36" s="109"/>
      <c r="E36" s="109"/>
    </row>
    <row r="37" spans="2:5" ht="21.75" customHeight="1" x14ac:dyDescent="0.25">
      <c r="B37" s="109"/>
      <c r="C37" s="109"/>
      <c r="D37" s="109"/>
      <c r="E37" s="109"/>
    </row>
    <row r="39" spans="2:5" ht="18" customHeight="1" x14ac:dyDescent="0.25">
      <c r="B39" s="110" t="s">
        <v>172</v>
      </c>
      <c r="C39" s="110"/>
      <c r="D39" s="110"/>
      <c r="E39" s="110"/>
    </row>
  </sheetData>
  <sheetProtection sheet="1" formatCells="0" sort="0" autoFilter="0"/>
  <mergeCells count="11">
    <mergeCell ref="B39:E39"/>
    <mergeCell ref="B26:E26"/>
    <mergeCell ref="C30:E30"/>
    <mergeCell ref="B32:E32"/>
    <mergeCell ref="B33:E34"/>
    <mergeCell ref="B36:E37"/>
    <mergeCell ref="B2:E2"/>
    <mergeCell ref="B3:E3"/>
    <mergeCell ref="B6:E6"/>
    <mergeCell ref="B13:E13"/>
    <mergeCell ref="B20:E20"/>
  </mergeCells>
  <dataValidations count="2">
    <dataValidation type="decimal" showErrorMessage="1" errorTitle="Amount" error="Enter a dollar amount of zero or more." sqref="C8:C10 C22:C23 C28" xr:uid="{00000000-0002-0000-0200-000000000000}">
      <formula1>0</formula1>
      <formula2>1000000000</formula2>
    </dataValidation>
    <dataValidation type="whole" showErrorMessage="1" errorTitle="Months Until Full Productivity" error="Enter a whole number of months between 1 and 12." sqref="C29" xr:uid="{00000000-0002-0000-0200-000001000000}">
      <formula1>1</formula1>
      <formula2>12</formula2>
    </dataValidation>
  </dataValidations>
  <pageMargins left="0.75" right="0.75" top="1" bottom="1" header="0.511811023622047" footer="0.511811023622047"/>
  <pageSetup fitToHeight="0" orientation="portrait" horizontalDpi="300" verticalDpi="30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68"/>
  <sheetViews>
    <sheetView showGridLines="0" zoomScale="90" zoomScaleNormal="90" workbookViewId="0">
      <pane xSplit="2" ySplit="4" topLeftCell="C5" activePane="bottomRight" state="frozen"/>
      <selection pane="topRight" activeCell="C1" sqref="C1"/>
      <selection pane="bottomLeft" activeCell="A5" sqref="A5"/>
      <selection pane="bottomRight" activeCell="G12" sqref="G12"/>
    </sheetView>
  </sheetViews>
  <sheetFormatPr defaultColWidth="8.7109375" defaultRowHeight="15" x14ac:dyDescent="0.25"/>
  <cols>
    <col min="1" max="1" width="3" customWidth="1"/>
    <col min="2" max="2" width="50" customWidth="1"/>
    <col min="3" max="14" width="11.42578125" customWidth="1"/>
    <col min="15" max="15" width="3" customWidth="1"/>
  </cols>
  <sheetData>
    <row r="1" spans="1:14" ht="13.5" customHeight="1" x14ac:dyDescent="0.25">
      <c r="A1" s="111" t="s">
        <v>0</v>
      </c>
      <c r="B1" s="111"/>
      <c r="C1" s="111"/>
      <c r="D1" s="111"/>
      <c r="E1" s="111"/>
      <c r="F1" s="111"/>
      <c r="G1" s="111"/>
      <c r="H1" s="111"/>
      <c r="I1" s="111"/>
      <c r="J1" s="111"/>
      <c r="K1" s="111"/>
      <c r="L1" s="111"/>
      <c r="M1" s="111"/>
      <c r="N1" s="111"/>
    </row>
    <row r="2" spans="1:14" ht="25.5" customHeight="1" x14ac:dyDescent="0.25">
      <c r="A2" s="112" t="s">
        <v>173</v>
      </c>
      <c r="B2" s="112"/>
      <c r="C2" s="112"/>
      <c r="D2" s="112"/>
      <c r="E2" s="112"/>
      <c r="F2" s="112"/>
      <c r="G2" s="112"/>
      <c r="H2" s="113" t="s">
        <v>174</v>
      </c>
      <c r="I2" s="113"/>
      <c r="J2" s="113"/>
      <c r="K2" s="113"/>
      <c r="L2" s="113"/>
      <c r="M2" s="113"/>
      <c r="N2" s="113"/>
    </row>
    <row r="3" spans="1:14" ht="15.75" customHeight="1" x14ac:dyDescent="0.25">
      <c r="A3" s="114" t="s">
        <v>175</v>
      </c>
      <c r="B3" s="114"/>
      <c r="C3" s="114"/>
      <c r="D3" s="114"/>
      <c r="E3" s="114"/>
      <c r="F3" s="114"/>
      <c r="G3" s="114"/>
      <c r="H3" s="114"/>
      <c r="I3" s="114"/>
      <c r="J3" s="114"/>
      <c r="K3" s="114"/>
      <c r="L3" s="114"/>
      <c r="M3" s="114"/>
      <c r="N3" s="114"/>
    </row>
    <row r="4" spans="1:14" ht="7.5" customHeight="1" x14ac:dyDescent="0.25"/>
    <row r="5" spans="1:14" ht="19.5" customHeight="1" x14ac:dyDescent="0.25">
      <c r="B5" s="103" t="s">
        <v>176</v>
      </c>
      <c r="C5" s="103"/>
      <c r="D5" s="103"/>
      <c r="E5" s="103"/>
    </row>
    <row r="6" spans="1:14" ht="18" customHeight="1" x14ac:dyDescent="0.25">
      <c r="B6" s="22" t="s">
        <v>177</v>
      </c>
      <c r="C6" s="23" t="s">
        <v>123</v>
      </c>
    </row>
    <row r="7" spans="1:14" ht="18.75" customHeight="1" x14ac:dyDescent="0.25">
      <c r="B7" s="54" t="s">
        <v>178</v>
      </c>
      <c r="C7" s="55">
        <f>'HIRE INPUTS'!$C$19</f>
        <v>78000</v>
      </c>
    </row>
    <row r="8" spans="1:14" ht="18.75" customHeight="1" x14ac:dyDescent="0.25">
      <c r="B8" s="54" t="s">
        <v>81</v>
      </c>
      <c r="C8" s="55">
        <f>'HIRE INPUTS'!$C$23</f>
        <v>82000</v>
      </c>
    </row>
    <row r="9" spans="1:14" ht="18.75" customHeight="1" x14ac:dyDescent="0.25">
      <c r="B9" s="56" t="s">
        <v>179</v>
      </c>
      <c r="C9" s="57">
        <f>'HIRE INPUTS'!$C$62</f>
        <v>106600</v>
      </c>
    </row>
    <row r="10" spans="1:14" ht="18.75" customHeight="1" x14ac:dyDescent="0.25">
      <c r="B10" s="56" t="s">
        <v>126</v>
      </c>
      <c r="C10" s="57">
        <f>'HIRE INPUTS'!$C$63</f>
        <v>8883.3333333333339</v>
      </c>
    </row>
    <row r="11" spans="1:14" ht="18.75" customHeight="1" x14ac:dyDescent="0.25">
      <c r="B11" s="54" t="s">
        <v>180</v>
      </c>
      <c r="C11" s="55">
        <f>'HIRE INPUTS'!$C$54</f>
        <v>14500</v>
      </c>
    </row>
    <row r="12" spans="1:14" ht="18.75" customHeight="1" x14ac:dyDescent="0.25">
      <c r="B12" s="56" t="s">
        <v>181</v>
      </c>
      <c r="C12" s="57">
        <f>'HIRE INPUTS'!$C$65</f>
        <v>121100</v>
      </c>
    </row>
    <row r="13" spans="1:14" ht="18.75" customHeight="1" x14ac:dyDescent="0.25">
      <c r="B13" s="54" t="s">
        <v>182</v>
      </c>
      <c r="C13" s="55">
        <f>IFERROR(C9-C7,0)</f>
        <v>28600</v>
      </c>
    </row>
    <row r="14" spans="1:14" ht="18.75" customHeight="1" x14ac:dyDescent="0.25">
      <c r="B14" s="54" t="s">
        <v>183</v>
      </c>
      <c r="C14" s="58">
        <f>IFERROR(IF(C7=0,0,C9/C7),0)</f>
        <v>1.3666666666666667</v>
      </c>
    </row>
    <row r="15" spans="1:14" ht="12" customHeight="1" x14ac:dyDescent="0.25"/>
    <row r="16" spans="1:14" ht="19.5" customHeight="1" x14ac:dyDescent="0.25">
      <c r="B16" s="103" t="s">
        <v>184</v>
      </c>
      <c r="C16" s="103"/>
      <c r="D16" s="103"/>
      <c r="E16" s="103"/>
    </row>
    <row r="17" spans="2:6" ht="18" customHeight="1" x14ac:dyDescent="0.25">
      <c r="B17" s="22" t="s">
        <v>177</v>
      </c>
      <c r="C17" s="23" t="s">
        <v>123</v>
      </c>
    </row>
    <row r="18" spans="2:6" ht="18.75" customHeight="1" x14ac:dyDescent="0.25">
      <c r="B18" s="54" t="s">
        <v>185</v>
      </c>
      <c r="C18" s="58">
        <f>'BUSINESS INPUTS'!$C$15</f>
        <v>0.55000000000000004</v>
      </c>
    </row>
    <row r="19" spans="2:6" ht="18.75" customHeight="1" x14ac:dyDescent="0.25">
      <c r="B19" s="54" t="s">
        <v>186</v>
      </c>
      <c r="C19" s="55">
        <f>C10</f>
        <v>8883.3333333333339</v>
      </c>
    </row>
    <row r="20" spans="2:6" ht="18.75" customHeight="1" x14ac:dyDescent="0.25">
      <c r="B20" s="54" t="s">
        <v>187</v>
      </c>
      <c r="C20" s="55">
        <f>C9</f>
        <v>106600</v>
      </c>
    </row>
    <row r="21" spans="2:6" ht="18.75" customHeight="1" x14ac:dyDescent="0.25">
      <c r="B21" s="56" t="s">
        <v>188</v>
      </c>
      <c r="C21" s="57">
        <f>IFERROR(IF(C18&lt;=0,0,C19/C18),0)</f>
        <v>16151.515151515152</v>
      </c>
    </row>
    <row r="22" spans="2:6" ht="18.75" customHeight="1" x14ac:dyDescent="0.25">
      <c r="B22" s="54" t="s">
        <v>189</v>
      </c>
      <c r="C22" s="55">
        <f>C21*12</f>
        <v>193818.18181818182</v>
      </c>
    </row>
    <row r="23" spans="2:6" ht="16.5" customHeight="1" x14ac:dyDescent="0.25">
      <c r="B23" s="110" t="str">
        <f>IFERROR(IF(C18&lt;=0,"Enter monthly revenue and gross profit on the BUSINESS INPUTS tab to calculate the revenue required to cover this hire.","Revenue required = monthly recurring cost of hire divided by your gross margin of "&amp;TEXT(C18,"0.0%")&amp;"."),"")</f>
        <v>Revenue required = monthly recurring cost of hire divided by your gross margin of 55.0%.</v>
      </c>
      <c r="C23" s="110"/>
      <c r="D23" s="110"/>
      <c r="E23" s="110"/>
      <c r="F23" s="110"/>
    </row>
    <row r="24" spans="2:6" ht="12" customHeight="1" x14ac:dyDescent="0.25"/>
    <row r="25" spans="2:6" ht="19.5" customHeight="1" x14ac:dyDescent="0.25">
      <c r="B25" s="103" t="s">
        <v>190</v>
      </c>
      <c r="C25" s="103"/>
      <c r="D25" s="103"/>
      <c r="E25" s="103"/>
    </row>
    <row r="26" spans="2:6" ht="18" customHeight="1" x14ac:dyDescent="0.25">
      <c r="B26" s="22" t="s">
        <v>177</v>
      </c>
      <c r="C26" s="23" t="s">
        <v>123</v>
      </c>
    </row>
    <row r="27" spans="2:6" ht="18.75" customHeight="1" x14ac:dyDescent="0.25">
      <c r="B27" s="54" t="s">
        <v>164</v>
      </c>
      <c r="C27" s="55">
        <f>'BUSINESS INPUTS'!$C$28</f>
        <v>22000</v>
      </c>
    </row>
    <row r="28" spans="2:6" ht="18.75" customHeight="1" x14ac:dyDescent="0.25">
      <c r="B28" s="54" t="s">
        <v>191</v>
      </c>
      <c r="C28" s="58">
        <f>'BUSINESS INPUTS'!$C$15</f>
        <v>0.55000000000000004</v>
      </c>
    </row>
    <row r="29" spans="2:6" ht="18.75" customHeight="1" x14ac:dyDescent="0.25">
      <c r="B29" s="56" t="s">
        <v>192</v>
      </c>
      <c r="C29" s="57">
        <f>IFERROR(C27*C28,0)</f>
        <v>12100.000000000002</v>
      </c>
    </row>
    <row r="30" spans="2:6" ht="18.75" customHeight="1" x14ac:dyDescent="0.25">
      <c r="B30" s="54" t="s">
        <v>193</v>
      </c>
      <c r="C30" s="55">
        <f>-C10</f>
        <v>-8883.3333333333339</v>
      </c>
    </row>
    <row r="31" spans="2:6" ht="18.75" customHeight="1" x14ac:dyDescent="0.25">
      <c r="B31" s="59" t="s">
        <v>194</v>
      </c>
      <c r="C31" s="60">
        <f>C29+C30</f>
        <v>3216.6666666666679</v>
      </c>
    </row>
    <row r="32" spans="2:6" ht="18.75" customHeight="1" x14ac:dyDescent="0.25">
      <c r="B32" s="54" t="s">
        <v>195</v>
      </c>
      <c r="C32" s="55">
        <f>C31*12</f>
        <v>38600.000000000015</v>
      </c>
    </row>
    <row r="33" spans="2:6" ht="28.5" customHeight="1" x14ac:dyDescent="0.25">
      <c r="B33" s="105" t="s">
        <v>196</v>
      </c>
      <c r="C33" s="105"/>
      <c r="D33" s="105"/>
      <c r="E33" s="105"/>
      <c r="F33" s="105"/>
    </row>
    <row r="34" spans="2:6" ht="12" customHeight="1" x14ac:dyDescent="0.25"/>
    <row r="35" spans="2:6" ht="19.5" customHeight="1" x14ac:dyDescent="0.25">
      <c r="B35" s="103" t="s">
        <v>197</v>
      </c>
      <c r="C35" s="103"/>
      <c r="D35" s="103"/>
      <c r="E35" s="103"/>
    </row>
    <row r="36" spans="2:6" ht="18.75" customHeight="1" x14ac:dyDescent="0.25">
      <c r="B36" s="54" t="s">
        <v>188</v>
      </c>
      <c r="C36" s="55">
        <f>C21</f>
        <v>16151.515151515152</v>
      </c>
    </row>
    <row r="37" spans="2:6" ht="18.75" customHeight="1" x14ac:dyDescent="0.25">
      <c r="B37" s="54" t="s">
        <v>164</v>
      </c>
      <c r="C37" s="55">
        <f>C27</f>
        <v>22000</v>
      </c>
    </row>
    <row r="38" spans="2:6" ht="18.75" customHeight="1" x14ac:dyDescent="0.25">
      <c r="B38" s="59" t="s">
        <v>198</v>
      </c>
      <c r="C38" s="60">
        <f>IFERROR(C37-C36,0)</f>
        <v>5848.484848484848</v>
      </c>
    </row>
    <row r="39" spans="2:6" ht="16.5" customHeight="1" x14ac:dyDescent="0.25">
      <c r="B39" s="105" t="s">
        <v>199</v>
      </c>
      <c r="C39" s="105"/>
      <c r="D39" s="105"/>
      <c r="E39" s="105"/>
      <c r="F39" s="105"/>
    </row>
    <row r="40" spans="2:6" ht="12" customHeight="1" x14ac:dyDescent="0.25"/>
    <row r="41" spans="2:6" ht="19.5" customHeight="1" x14ac:dyDescent="0.25">
      <c r="B41" s="103" t="s">
        <v>200</v>
      </c>
      <c r="C41" s="103"/>
      <c r="D41" s="103"/>
      <c r="E41" s="103"/>
    </row>
    <row r="42" spans="2:6" ht="18" customHeight="1" x14ac:dyDescent="0.25">
      <c r="B42" s="22" t="s">
        <v>177</v>
      </c>
      <c r="C42" s="23" t="s">
        <v>201</v>
      </c>
      <c r="D42" s="23" t="s">
        <v>202</v>
      </c>
      <c r="E42" s="23" t="s">
        <v>203</v>
      </c>
    </row>
    <row r="43" spans="2:6" ht="18.75" customHeight="1" x14ac:dyDescent="0.25">
      <c r="B43" s="54" t="s">
        <v>204</v>
      </c>
      <c r="C43" s="55">
        <f>'BUSINESS INPUTS'!$C$8</f>
        <v>125000</v>
      </c>
      <c r="D43" s="55">
        <f>C43+'BUSINESS INPUTS'!$C$28</f>
        <v>147000</v>
      </c>
      <c r="E43" s="61">
        <f>IFERROR(D43-C43,0)</f>
        <v>22000</v>
      </c>
    </row>
    <row r="44" spans="2:6" ht="18.75" customHeight="1" x14ac:dyDescent="0.25">
      <c r="B44" s="54" t="s">
        <v>205</v>
      </c>
      <c r="C44" s="55">
        <f>'BUSINESS INPUTS'!$C$9</f>
        <v>68750</v>
      </c>
      <c r="D44" s="55">
        <f>IFERROR(C44+'BUSINESS INPUTS'!$C$28*'BUSINESS INPUTS'!$C$15,0)</f>
        <v>80850</v>
      </c>
      <c r="E44" s="61">
        <f>IFERROR(D44-C44,0)</f>
        <v>12100</v>
      </c>
    </row>
    <row r="45" spans="2:6" ht="18.75" customHeight="1" x14ac:dyDescent="0.25">
      <c r="B45" s="54" t="s">
        <v>206</v>
      </c>
      <c r="C45" s="55">
        <f>'BUSINESS INPUTS'!$C$10</f>
        <v>57000</v>
      </c>
      <c r="D45" s="55">
        <f>C45+'HIRE INPUTS'!$C$63</f>
        <v>65883.333333333328</v>
      </c>
      <c r="E45" s="61">
        <f>IFERROR(D45-C45,0)</f>
        <v>8883.3333333333285</v>
      </c>
    </row>
    <row r="46" spans="2:6" ht="18.75" customHeight="1" x14ac:dyDescent="0.25">
      <c r="B46" s="59" t="s">
        <v>207</v>
      </c>
      <c r="C46" s="62">
        <f>C44-C45</f>
        <v>11750</v>
      </c>
      <c r="D46" s="62">
        <f>D44-D45</f>
        <v>14966.666666666672</v>
      </c>
      <c r="E46" s="63">
        <f>IFERROR(D46-C46,0)</f>
        <v>3216.6666666666715</v>
      </c>
    </row>
    <row r="47" spans="2:6" ht="18.75" customHeight="1" x14ac:dyDescent="0.25">
      <c r="B47" s="56" t="s">
        <v>150</v>
      </c>
      <c r="C47" s="64">
        <f>IFERROR(IF(C43=0,0,C46/C43),0)</f>
        <v>9.4E-2</v>
      </c>
      <c r="D47" s="64">
        <f>IFERROR(IF(D43=0,0,D46/D43),0)</f>
        <v>0.10181405895691613</v>
      </c>
      <c r="E47" s="65">
        <f>IFERROR(D47-C47,0)</f>
        <v>7.8140589569161284E-3</v>
      </c>
    </row>
    <row r="48" spans="2:6" ht="27" customHeight="1" x14ac:dyDescent="0.25">
      <c r="B48" s="105" t="s">
        <v>208</v>
      </c>
      <c r="C48" s="105"/>
      <c r="D48" s="105"/>
      <c r="E48" s="105"/>
      <c r="F48" s="105"/>
    </row>
    <row r="49" spans="2:14" ht="12" customHeight="1" x14ac:dyDescent="0.25"/>
    <row r="50" spans="2:14" ht="19.5" customHeight="1" x14ac:dyDescent="0.25">
      <c r="B50" s="103" t="s">
        <v>209</v>
      </c>
      <c r="C50" s="103"/>
      <c r="D50" s="103"/>
      <c r="E50" s="103"/>
    </row>
    <row r="51" spans="2:14" ht="18.75" customHeight="1" x14ac:dyDescent="0.25">
      <c r="B51" s="54" t="s">
        <v>180</v>
      </c>
      <c r="C51" s="55">
        <f>C11</f>
        <v>14500</v>
      </c>
    </row>
    <row r="52" spans="2:14" ht="18.75" customHeight="1" x14ac:dyDescent="0.25">
      <c r="B52" s="54" t="s">
        <v>194</v>
      </c>
      <c r="C52" s="55">
        <f>C31</f>
        <v>3216.6666666666679</v>
      </c>
    </row>
    <row r="53" spans="2:14" ht="19.5" customHeight="1" x14ac:dyDescent="0.25">
      <c r="B53" s="34" t="s">
        <v>210</v>
      </c>
      <c r="C53" s="66" t="str">
        <f>IFERROR(IF(C52&lt;=0,"N/A based on current assumptions",TEXT(C51/C52,"0.0")&amp;" months"),"N/A based on current assumptions")</f>
        <v>4.5 months</v>
      </c>
    </row>
    <row r="54" spans="2:14" ht="13.5" customHeight="1" x14ac:dyDescent="0.25"/>
    <row r="55" spans="2:14" ht="19.5" customHeight="1" x14ac:dyDescent="0.25">
      <c r="B55" s="115" t="s">
        <v>211</v>
      </c>
      <c r="C55" s="115"/>
      <c r="D55" s="115"/>
      <c r="E55" s="115"/>
      <c r="F55" s="115"/>
      <c r="G55" s="115"/>
      <c r="H55" s="115"/>
      <c r="I55" s="115"/>
      <c r="J55" s="115"/>
      <c r="K55" s="115"/>
      <c r="L55" s="115"/>
      <c r="M55" s="115"/>
      <c r="N55" s="115"/>
    </row>
    <row r="56" spans="2:14" ht="18.75" customHeight="1" x14ac:dyDescent="0.25">
      <c r="B56" s="67" t="s">
        <v>212</v>
      </c>
      <c r="C56" s="68" t="s">
        <v>213</v>
      </c>
      <c r="D56" s="68" t="s">
        <v>214</v>
      </c>
      <c r="E56" s="68" t="s">
        <v>215</v>
      </c>
      <c r="F56" s="68" t="s">
        <v>216</v>
      </c>
      <c r="G56" s="68" t="s">
        <v>217</v>
      </c>
      <c r="H56" s="68" t="s">
        <v>218</v>
      </c>
      <c r="I56" s="68" t="s">
        <v>219</v>
      </c>
      <c r="J56" s="68" t="s">
        <v>220</v>
      </c>
      <c r="K56" s="68" t="s">
        <v>221</v>
      </c>
      <c r="L56" s="68" t="s">
        <v>222</v>
      </c>
      <c r="M56" s="68" t="s">
        <v>223</v>
      </c>
      <c r="N56" s="68" t="s">
        <v>224</v>
      </c>
    </row>
    <row r="57" spans="2:14" ht="15" customHeight="1" x14ac:dyDescent="0.25">
      <c r="B57" s="69" t="s">
        <v>225</v>
      </c>
      <c r="C57" s="70">
        <f>IFERROR(DATE(YEAR('HIRE INPUTS'!$C$9),MONTH('HIRE INPUTS'!$C$9)+0,1),"")</f>
        <v>46296</v>
      </c>
      <c r="D57" s="70">
        <f>IFERROR(DATE(YEAR('HIRE INPUTS'!$C$9),MONTH('HIRE INPUTS'!$C$9)+1,1),"")</f>
        <v>46327</v>
      </c>
      <c r="E57" s="70">
        <f>IFERROR(DATE(YEAR('HIRE INPUTS'!$C$9),MONTH('HIRE INPUTS'!$C$9)+2,1),"")</f>
        <v>46357</v>
      </c>
      <c r="F57" s="70">
        <f>IFERROR(DATE(YEAR('HIRE INPUTS'!$C$9),MONTH('HIRE INPUTS'!$C$9)+3,1),"")</f>
        <v>46388</v>
      </c>
      <c r="G57" s="70">
        <f>IFERROR(DATE(YEAR('HIRE INPUTS'!$C$9),MONTH('HIRE INPUTS'!$C$9)+4,1),"")</f>
        <v>46419</v>
      </c>
      <c r="H57" s="70">
        <f>IFERROR(DATE(YEAR('HIRE INPUTS'!$C$9),MONTH('HIRE INPUTS'!$C$9)+5,1),"")</f>
        <v>46447</v>
      </c>
      <c r="I57" s="70">
        <f>IFERROR(DATE(YEAR('HIRE INPUTS'!$C$9),MONTH('HIRE INPUTS'!$C$9)+6,1),"")</f>
        <v>46478</v>
      </c>
      <c r="J57" s="70">
        <f>IFERROR(DATE(YEAR('HIRE INPUTS'!$C$9),MONTH('HIRE INPUTS'!$C$9)+7,1),"")</f>
        <v>46508</v>
      </c>
      <c r="K57" s="70">
        <f>IFERROR(DATE(YEAR('HIRE INPUTS'!$C$9),MONTH('HIRE INPUTS'!$C$9)+8,1),"")</f>
        <v>46539</v>
      </c>
      <c r="L57" s="70">
        <f>IFERROR(DATE(YEAR('HIRE INPUTS'!$C$9),MONTH('HIRE INPUTS'!$C$9)+9,1),"")</f>
        <v>46569</v>
      </c>
      <c r="M57" s="70">
        <f>IFERROR(DATE(YEAR('HIRE INPUTS'!$C$9),MONTH('HIRE INPUTS'!$C$9)+10,1),"")</f>
        <v>46600</v>
      </c>
      <c r="N57" s="70">
        <f>IFERROR(DATE(YEAR('HIRE INPUTS'!$C$9),MONTH('HIRE INPUTS'!$C$9)+11,1),"")</f>
        <v>46631</v>
      </c>
    </row>
    <row r="58" spans="2:14" ht="12.75" customHeight="1" x14ac:dyDescent="0.25">
      <c r="B58" s="71" t="s">
        <v>226</v>
      </c>
      <c r="C58" s="72">
        <v>1</v>
      </c>
      <c r="D58" s="72">
        <v>2</v>
      </c>
      <c r="E58" s="72">
        <v>3</v>
      </c>
      <c r="F58" s="72">
        <v>4</v>
      </c>
      <c r="G58" s="72">
        <v>5</v>
      </c>
      <c r="H58" s="72">
        <v>6</v>
      </c>
      <c r="I58" s="72">
        <v>7</v>
      </c>
      <c r="J58" s="72">
        <v>8</v>
      </c>
      <c r="K58" s="72">
        <v>9</v>
      </c>
      <c r="L58" s="72">
        <v>10</v>
      </c>
      <c r="M58" s="72">
        <v>11</v>
      </c>
      <c r="N58" s="72">
        <v>12</v>
      </c>
    </row>
    <row r="59" spans="2:14" ht="16.5" customHeight="1" x14ac:dyDescent="0.25">
      <c r="B59" s="73" t="s">
        <v>227</v>
      </c>
      <c r="C59" s="74">
        <f>IFERROR(IF('BUSINESS INPUTS'!$C$29&lt;=1,1,MIN(1,C$58/'BUSINESS INPUTS'!$C$29)),1)</f>
        <v>0.25</v>
      </c>
      <c r="D59" s="74">
        <f>IFERROR(IF('BUSINESS INPUTS'!$C$29&lt;=1,1,MIN(1,D$58/'BUSINESS INPUTS'!$C$29)),1)</f>
        <v>0.5</v>
      </c>
      <c r="E59" s="74">
        <f>IFERROR(IF('BUSINESS INPUTS'!$C$29&lt;=1,1,MIN(1,E$58/'BUSINESS INPUTS'!$C$29)),1)</f>
        <v>0.75</v>
      </c>
      <c r="F59" s="74">
        <f>IFERROR(IF('BUSINESS INPUTS'!$C$29&lt;=1,1,MIN(1,F$58/'BUSINESS INPUTS'!$C$29)),1)</f>
        <v>1</v>
      </c>
      <c r="G59" s="74">
        <f>IFERROR(IF('BUSINESS INPUTS'!$C$29&lt;=1,1,MIN(1,G$58/'BUSINESS INPUTS'!$C$29)),1)</f>
        <v>1</v>
      </c>
      <c r="H59" s="74">
        <f>IFERROR(IF('BUSINESS INPUTS'!$C$29&lt;=1,1,MIN(1,H$58/'BUSINESS INPUTS'!$C$29)),1)</f>
        <v>1</v>
      </c>
      <c r="I59" s="74">
        <f>IFERROR(IF('BUSINESS INPUTS'!$C$29&lt;=1,1,MIN(1,I$58/'BUSINESS INPUTS'!$C$29)),1)</f>
        <v>1</v>
      </c>
      <c r="J59" s="74">
        <f>IFERROR(IF('BUSINESS INPUTS'!$C$29&lt;=1,1,MIN(1,J$58/'BUSINESS INPUTS'!$C$29)),1)</f>
        <v>1</v>
      </c>
      <c r="K59" s="74">
        <f>IFERROR(IF('BUSINESS INPUTS'!$C$29&lt;=1,1,MIN(1,K$58/'BUSINESS INPUTS'!$C$29)),1)</f>
        <v>1</v>
      </c>
      <c r="L59" s="74">
        <f>IFERROR(IF('BUSINESS INPUTS'!$C$29&lt;=1,1,MIN(1,L$58/'BUSINESS INPUTS'!$C$29)),1)</f>
        <v>1</v>
      </c>
      <c r="M59" s="74">
        <f>IFERROR(IF('BUSINESS INPUTS'!$C$29&lt;=1,1,MIN(1,M$58/'BUSINESS INPUTS'!$C$29)),1)</f>
        <v>1</v>
      </c>
      <c r="N59" s="74">
        <f>IFERROR(IF('BUSINESS INPUTS'!$C$29&lt;=1,1,MIN(1,N$58/'BUSINESS INPUTS'!$C$29)),1)</f>
        <v>1</v>
      </c>
    </row>
    <row r="60" spans="2:14" ht="16.5" customHeight="1" x14ac:dyDescent="0.25">
      <c r="B60" s="73" t="s">
        <v>228</v>
      </c>
      <c r="C60" s="75">
        <f>IFERROR('BUSINESS INPUTS'!$C$28*C59,0)</f>
        <v>5500</v>
      </c>
      <c r="D60" s="75">
        <f>IFERROR('BUSINESS INPUTS'!$C$28*D59,0)</f>
        <v>11000</v>
      </c>
      <c r="E60" s="75">
        <f>IFERROR('BUSINESS INPUTS'!$C$28*E59,0)</f>
        <v>16500</v>
      </c>
      <c r="F60" s="75">
        <f>IFERROR('BUSINESS INPUTS'!$C$28*F59,0)</f>
        <v>22000</v>
      </c>
      <c r="G60" s="75">
        <f>IFERROR('BUSINESS INPUTS'!$C$28*G59,0)</f>
        <v>22000</v>
      </c>
      <c r="H60" s="75">
        <f>IFERROR('BUSINESS INPUTS'!$C$28*H59,0)</f>
        <v>22000</v>
      </c>
      <c r="I60" s="75">
        <f>IFERROR('BUSINESS INPUTS'!$C$28*I59,0)</f>
        <v>22000</v>
      </c>
      <c r="J60" s="75">
        <f>IFERROR('BUSINESS INPUTS'!$C$28*J59,0)</f>
        <v>22000</v>
      </c>
      <c r="K60" s="75">
        <f>IFERROR('BUSINESS INPUTS'!$C$28*K59,0)</f>
        <v>22000</v>
      </c>
      <c r="L60" s="75">
        <f>IFERROR('BUSINESS INPUTS'!$C$28*L59,0)</f>
        <v>22000</v>
      </c>
      <c r="M60" s="75">
        <f>IFERROR('BUSINESS INPUTS'!$C$28*M59,0)</f>
        <v>22000</v>
      </c>
      <c r="N60" s="75">
        <f>IFERROR('BUSINESS INPUTS'!$C$28*N59,0)</f>
        <v>22000</v>
      </c>
    </row>
    <row r="61" spans="2:14" ht="16.5" customHeight="1" x14ac:dyDescent="0.25">
      <c r="B61" s="73" t="s">
        <v>229</v>
      </c>
      <c r="C61" s="75">
        <f>IFERROR(C60*'BUSINESS INPUTS'!$C$15,0)</f>
        <v>3025.0000000000005</v>
      </c>
      <c r="D61" s="75">
        <f>IFERROR(D60*'BUSINESS INPUTS'!$C$15,0)</f>
        <v>6050.0000000000009</v>
      </c>
      <c r="E61" s="75">
        <f>IFERROR(E60*'BUSINESS INPUTS'!$C$15,0)</f>
        <v>9075</v>
      </c>
      <c r="F61" s="75">
        <f>IFERROR(F60*'BUSINESS INPUTS'!$C$15,0)</f>
        <v>12100.000000000002</v>
      </c>
      <c r="G61" s="75">
        <f>IFERROR(G60*'BUSINESS INPUTS'!$C$15,0)</f>
        <v>12100.000000000002</v>
      </c>
      <c r="H61" s="75">
        <f>IFERROR(H60*'BUSINESS INPUTS'!$C$15,0)</f>
        <v>12100.000000000002</v>
      </c>
      <c r="I61" s="75">
        <f>IFERROR(I60*'BUSINESS INPUTS'!$C$15,0)</f>
        <v>12100.000000000002</v>
      </c>
      <c r="J61" s="75">
        <f>IFERROR(J60*'BUSINESS INPUTS'!$C$15,0)</f>
        <v>12100.000000000002</v>
      </c>
      <c r="K61" s="75">
        <f>IFERROR(K60*'BUSINESS INPUTS'!$C$15,0)</f>
        <v>12100.000000000002</v>
      </c>
      <c r="L61" s="75">
        <f>IFERROR(L60*'BUSINESS INPUTS'!$C$15,0)</f>
        <v>12100.000000000002</v>
      </c>
      <c r="M61" s="75">
        <f>IFERROR(M60*'BUSINESS INPUTS'!$C$15,0)</f>
        <v>12100.000000000002</v>
      </c>
      <c r="N61" s="75">
        <f>IFERROR(N60*'BUSINESS INPUTS'!$C$15,0)</f>
        <v>12100.000000000002</v>
      </c>
    </row>
    <row r="62" spans="2:14" ht="16.5" customHeight="1" x14ac:dyDescent="0.25">
      <c r="B62" s="73" t="s">
        <v>230</v>
      </c>
      <c r="C62" s="75">
        <f>'HIRE INPUTS'!$C$63</f>
        <v>8883.3333333333339</v>
      </c>
      <c r="D62" s="75">
        <f>'HIRE INPUTS'!$C$63</f>
        <v>8883.3333333333339</v>
      </c>
      <c r="E62" s="75">
        <f>'HIRE INPUTS'!$C$63</f>
        <v>8883.3333333333339</v>
      </c>
      <c r="F62" s="75">
        <f>'HIRE INPUTS'!$C$63</f>
        <v>8883.3333333333339</v>
      </c>
      <c r="G62" s="75">
        <f>'HIRE INPUTS'!$C$63</f>
        <v>8883.3333333333339</v>
      </c>
      <c r="H62" s="75">
        <f>'HIRE INPUTS'!$C$63</f>
        <v>8883.3333333333339</v>
      </c>
      <c r="I62" s="75">
        <f>'HIRE INPUTS'!$C$63</f>
        <v>8883.3333333333339</v>
      </c>
      <c r="J62" s="75">
        <f>'HIRE INPUTS'!$C$63</f>
        <v>8883.3333333333339</v>
      </c>
      <c r="K62" s="75">
        <f>'HIRE INPUTS'!$C$63</f>
        <v>8883.3333333333339</v>
      </c>
      <c r="L62" s="75">
        <f>'HIRE INPUTS'!$C$63</f>
        <v>8883.3333333333339</v>
      </c>
      <c r="M62" s="75">
        <f>'HIRE INPUTS'!$C$63</f>
        <v>8883.3333333333339</v>
      </c>
      <c r="N62" s="75">
        <f>'HIRE INPUTS'!$C$63</f>
        <v>8883.3333333333339</v>
      </c>
    </row>
    <row r="63" spans="2:14" ht="16.5" customHeight="1" x14ac:dyDescent="0.25">
      <c r="B63" s="73" t="s">
        <v>231</v>
      </c>
      <c r="C63" s="75">
        <f>IF(C$58=1,'HIRE INPUTS'!$C$54,0)</f>
        <v>14500</v>
      </c>
      <c r="D63" s="75">
        <f>IF(D$58=1,'HIRE INPUTS'!$C$54,0)</f>
        <v>0</v>
      </c>
      <c r="E63" s="75">
        <f>IF(E$58=1,'HIRE INPUTS'!$C$54,0)</f>
        <v>0</v>
      </c>
      <c r="F63" s="75">
        <f>IF(F$58=1,'HIRE INPUTS'!$C$54,0)</f>
        <v>0</v>
      </c>
      <c r="G63" s="75">
        <f>IF(G$58=1,'HIRE INPUTS'!$C$54,0)</f>
        <v>0</v>
      </c>
      <c r="H63" s="75">
        <f>IF(H$58=1,'HIRE INPUTS'!$C$54,0)</f>
        <v>0</v>
      </c>
      <c r="I63" s="75">
        <f>IF(I$58=1,'HIRE INPUTS'!$C$54,0)</f>
        <v>0</v>
      </c>
      <c r="J63" s="75">
        <f>IF(J$58=1,'HIRE INPUTS'!$C$54,0)</f>
        <v>0</v>
      </c>
      <c r="K63" s="75">
        <f>IF(K$58=1,'HIRE INPUTS'!$C$54,0)</f>
        <v>0</v>
      </c>
      <c r="L63" s="75">
        <f>IF(L$58=1,'HIRE INPUTS'!$C$54,0)</f>
        <v>0</v>
      </c>
      <c r="M63" s="75">
        <f>IF(M$58=1,'HIRE INPUTS'!$C$54,0)</f>
        <v>0</v>
      </c>
      <c r="N63" s="75">
        <f>IF(N$58=1,'HIRE INPUTS'!$C$54,0)</f>
        <v>0</v>
      </c>
    </row>
    <row r="64" spans="2:14" ht="16.5" customHeight="1" x14ac:dyDescent="0.25">
      <c r="B64" s="76" t="s">
        <v>232</v>
      </c>
      <c r="C64" s="77">
        <f t="shared" ref="C64:N64" si="0">C62+C63</f>
        <v>23383.333333333336</v>
      </c>
      <c r="D64" s="77">
        <f t="shared" si="0"/>
        <v>8883.3333333333339</v>
      </c>
      <c r="E64" s="77">
        <f t="shared" si="0"/>
        <v>8883.3333333333339</v>
      </c>
      <c r="F64" s="77">
        <f t="shared" si="0"/>
        <v>8883.3333333333339</v>
      </c>
      <c r="G64" s="77">
        <f t="shared" si="0"/>
        <v>8883.3333333333339</v>
      </c>
      <c r="H64" s="77">
        <f t="shared" si="0"/>
        <v>8883.3333333333339</v>
      </c>
      <c r="I64" s="77">
        <f t="shared" si="0"/>
        <v>8883.3333333333339</v>
      </c>
      <c r="J64" s="77">
        <f t="shared" si="0"/>
        <v>8883.3333333333339</v>
      </c>
      <c r="K64" s="77">
        <f t="shared" si="0"/>
        <v>8883.3333333333339</v>
      </c>
      <c r="L64" s="77">
        <f t="shared" si="0"/>
        <v>8883.3333333333339</v>
      </c>
      <c r="M64" s="77">
        <f t="shared" si="0"/>
        <v>8883.3333333333339</v>
      </c>
      <c r="N64" s="77">
        <f t="shared" si="0"/>
        <v>8883.3333333333339</v>
      </c>
    </row>
    <row r="65" spans="2:14" ht="18" customHeight="1" x14ac:dyDescent="0.25">
      <c r="B65" s="78" t="s">
        <v>233</v>
      </c>
      <c r="C65" s="79">
        <f t="shared" ref="C65:N65" si="1">C61-C64</f>
        <v>-20358.333333333336</v>
      </c>
      <c r="D65" s="79">
        <f t="shared" si="1"/>
        <v>-2833.333333333333</v>
      </c>
      <c r="E65" s="79">
        <f t="shared" si="1"/>
        <v>191.66666666666606</v>
      </c>
      <c r="F65" s="79">
        <f t="shared" si="1"/>
        <v>3216.6666666666679</v>
      </c>
      <c r="G65" s="79">
        <f t="shared" si="1"/>
        <v>3216.6666666666679</v>
      </c>
      <c r="H65" s="79">
        <f t="shared" si="1"/>
        <v>3216.6666666666679</v>
      </c>
      <c r="I65" s="79">
        <f t="shared" si="1"/>
        <v>3216.6666666666679</v>
      </c>
      <c r="J65" s="79">
        <f t="shared" si="1"/>
        <v>3216.6666666666679</v>
      </c>
      <c r="K65" s="79">
        <f t="shared" si="1"/>
        <v>3216.6666666666679</v>
      </c>
      <c r="L65" s="79">
        <f t="shared" si="1"/>
        <v>3216.6666666666679</v>
      </c>
      <c r="M65" s="79">
        <f t="shared" si="1"/>
        <v>3216.6666666666679</v>
      </c>
      <c r="N65" s="79">
        <f t="shared" si="1"/>
        <v>3216.6666666666679</v>
      </c>
    </row>
    <row r="66" spans="2:14" ht="18" customHeight="1" x14ac:dyDescent="0.25">
      <c r="B66" s="80" t="s">
        <v>234</v>
      </c>
      <c r="C66" s="81">
        <f>C65</f>
        <v>-20358.333333333336</v>
      </c>
      <c r="D66" s="81">
        <f t="shared" ref="D66:N66" si="2">C66+D65</f>
        <v>-23191.666666666668</v>
      </c>
      <c r="E66" s="81">
        <f t="shared" si="2"/>
        <v>-23000</v>
      </c>
      <c r="F66" s="81">
        <f t="shared" si="2"/>
        <v>-19783.333333333332</v>
      </c>
      <c r="G66" s="81">
        <f t="shared" si="2"/>
        <v>-16566.666666666664</v>
      </c>
      <c r="H66" s="81">
        <f t="shared" si="2"/>
        <v>-13349.999999999996</v>
      </c>
      <c r="I66" s="81">
        <f t="shared" si="2"/>
        <v>-10133.333333333328</v>
      </c>
      <c r="J66" s="81">
        <f t="shared" si="2"/>
        <v>-6916.6666666666606</v>
      </c>
      <c r="K66" s="81">
        <f t="shared" si="2"/>
        <v>-3699.9999999999927</v>
      </c>
      <c r="L66" s="81">
        <f t="shared" si="2"/>
        <v>-483.33333333332484</v>
      </c>
      <c r="M66" s="81">
        <f t="shared" si="2"/>
        <v>2733.333333333343</v>
      </c>
      <c r="N66" s="81">
        <f t="shared" si="2"/>
        <v>5950.0000000000109</v>
      </c>
    </row>
    <row r="68" spans="2:14" ht="18" customHeight="1" x14ac:dyDescent="0.25">
      <c r="B68" s="110" t="s">
        <v>235</v>
      </c>
      <c r="C68" s="110"/>
      <c r="D68" s="110"/>
      <c r="E68" s="110"/>
      <c r="F68" s="110"/>
      <c r="G68" s="110"/>
      <c r="H68" s="110"/>
      <c r="I68" s="110"/>
      <c r="J68" s="110"/>
      <c r="K68" s="110"/>
      <c r="L68" s="110"/>
      <c r="M68" s="110"/>
      <c r="N68" s="110"/>
    </row>
  </sheetData>
  <sheetProtection sheet="1" formatCells="0" sort="0" autoFilter="0"/>
  <mergeCells count="16">
    <mergeCell ref="B68:N68"/>
    <mergeCell ref="B39:F39"/>
    <mergeCell ref="B41:E41"/>
    <mergeCell ref="B48:F48"/>
    <mergeCell ref="B50:E50"/>
    <mergeCell ref="B55:N55"/>
    <mergeCell ref="B16:E16"/>
    <mergeCell ref="B23:F23"/>
    <mergeCell ref="B25:E25"/>
    <mergeCell ref="B33:F33"/>
    <mergeCell ref="B35:E35"/>
    <mergeCell ref="A1:N1"/>
    <mergeCell ref="A2:G2"/>
    <mergeCell ref="H2:N2"/>
    <mergeCell ref="A3:N3"/>
    <mergeCell ref="B5:E5"/>
  </mergeCells>
  <pageMargins left="0.75" right="0.75" top="1" bottom="1" header="0.511811023622047" footer="0.511811023622047"/>
  <pageSetup fitToHeight="0" orientation="landscape" horizontalDpi="300" verticalDpi="30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68"/>
  <sheetViews>
    <sheetView showGridLines="0" zoomScale="90" zoomScaleNormal="90" workbookViewId="0">
      <pane xSplit="2" ySplit="4" topLeftCell="C5" activePane="bottomRight" state="frozen"/>
      <selection pane="topRight" activeCell="C1" sqref="C1"/>
      <selection pane="bottomLeft" activeCell="A5" sqref="A5"/>
      <selection pane="bottomRight" sqref="A1:N1"/>
    </sheetView>
  </sheetViews>
  <sheetFormatPr defaultColWidth="8.7109375" defaultRowHeight="15" x14ac:dyDescent="0.25"/>
  <cols>
    <col min="1" max="1" width="3" customWidth="1"/>
    <col min="2" max="2" width="50" customWidth="1"/>
    <col min="3" max="14" width="11.42578125" customWidth="1"/>
    <col min="15" max="15" width="3" customWidth="1"/>
  </cols>
  <sheetData>
    <row r="1" spans="1:14" ht="13.5" customHeight="1" x14ac:dyDescent="0.25">
      <c r="A1" s="111" t="s">
        <v>0</v>
      </c>
      <c r="B1" s="111"/>
      <c r="C1" s="111"/>
      <c r="D1" s="111"/>
      <c r="E1" s="111"/>
      <c r="F1" s="111"/>
      <c r="G1" s="111"/>
      <c r="H1" s="111"/>
      <c r="I1" s="111"/>
      <c r="J1" s="111"/>
      <c r="K1" s="111"/>
      <c r="L1" s="111"/>
      <c r="M1" s="111"/>
      <c r="N1" s="111"/>
    </row>
    <row r="2" spans="1:14" ht="25.5" customHeight="1" x14ac:dyDescent="0.25">
      <c r="A2" s="112" t="s">
        <v>236</v>
      </c>
      <c r="B2" s="112"/>
      <c r="C2" s="112"/>
      <c r="D2" s="112"/>
      <c r="E2" s="112"/>
      <c r="F2" s="112"/>
      <c r="G2" s="112"/>
      <c r="H2" s="113" t="s">
        <v>237</v>
      </c>
      <c r="I2" s="113"/>
      <c r="J2" s="113"/>
      <c r="K2" s="113"/>
      <c r="L2" s="113"/>
      <c r="M2" s="113"/>
      <c r="N2" s="113"/>
    </row>
    <row r="3" spans="1:14" ht="15.75" customHeight="1" x14ac:dyDescent="0.25">
      <c r="A3" s="114" t="s">
        <v>238</v>
      </c>
      <c r="B3" s="114"/>
      <c r="C3" s="114"/>
      <c r="D3" s="114"/>
      <c r="E3" s="114"/>
      <c r="F3" s="114"/>
      <c r="G3" s="114"/>
      <c r="H3" s="114"/>
      <c r="I3" s="114"/>
      <c r="J3" s="114"/>
      <c r="K3" s="114"/>
      <c r="L3" s="114"/>
      <c r="M3" s="114"/>
      <c r="N3" s="114"/>
    </row>
    <row r="4" spans="1:14" ht="7.5" customHeight="1" x14ac:dyDescent="0.25"/>
    <row r="5" spans="1:14" ht="19.5" customHeight="1" x14ac:dyDescent="0.25">
      <c r="B5" s="103" t="s">
        <v>239</v>
      </c>
      <c r="C5" s="103"/>
      <c r="D5" s="103"/>
      <c r="E5" s="103"/>
    </row>
    <row r="6" spans="1:14" ht="18" customHeight="1" x14ac:dyDescent="0.25">
      <c r="B6" s="22" t="s">
        <v>240</v>
      </c>
      <c r="C6" s="23" t="s">
        <v>51</v>
      </c>
      <c r="D6" s="116" t="s">
        <v>52</v>
      </c>
      <c r="E6" s="116"/>
      <c r="F6" s="116"/>
      <c r="G6" s="116"/>
      <c r="H6" s="116"/>
      <c r="I6" s="116"/>
      <c r="J6" s="116"/>
      <c r="K6" s="116"/>
      <c r="L6" s="116"/>
      <c r="M6" s="116"/>
      <c r="N6" s="116"/>
    </row>
    <row r="7" spans="1:14" ht="27.75" customHeight="1" x14ac:dyDescent="0.25">
      <c r="B7" s="24" t="s">
        <v>241</v>
      </c>
      <c r="C7" s="36">
        <v>0.7</v>
      </c>
      <c r="D7" s="117" t="s">
        <v>242</v>
      </c>
      <c r="E7" s="117"/>
      <c r="F7" s="117"/>
      <c r="G7" s="117"/>
      <c r="H7" s="117"/>
      <c r="I7" s="117"/>
      <c r="J7" s="117"/>
      <c r="K7" s="117"/>
      <c r="L7" s="117"/>
      <c r="M7" s="117"/>
      <c r="N7" s="117"/>
    </row>
    <row r="8" spans="1:14" ht="27.75" customHeight="1" x14ac:dyDescent="0.25">
      <c r="B8" s="24" t="s">
        <v>243</v>
      </c>
      <c r="C8" s="36">
        <v>1</v>
      </c>
      <c r="D8" s="117" t="s">
        <v>244</v>
      </c>
      <c r="E8" s="117"/>
      <c r="F8" s="117"/>
      <c r="G8" s="117"/>
      <c r="H8" s="117"/>
      <c r="I8" s="117"/>
      <c r="J8" s="117"/>
      <c r="K8" s="117"/>
      <c r="L8" s="117"/>
      <c r="M8" s="117"/>
      <c r="N8" s="117"/>
    </row>
    <row r="9" spans="1:14" ht="27.75" customHeight="1" x14ac:dyDescent="0.25">
      <c r="B9" s="24" t="s">
        <v>245</v>
      </c>
      <c r="C9" s="36">
        <v>1.2</v>
      </c>
      <c r="D9" s="117" t="s">
        <v>246</v>
      </c>
      <c r="E9" s="117"/>
      <c r="F9" s="117"/>
      <c r="G9" s="117"/>
      <c r="H9" s="117"/>
      <c r="I9" s="117"/>
      <c r="J9" s="117"/>
      <c r="K9" s="117"/>
      <c r="L9" s="117"/>
      <c r="M9" s="117"/>
      <c r="N9" s="117"/>
    </row>
    <row r="10" spans="1:14" ht="27.75" customHeight="1" x14ac:dyDescent="0.25">
      <c r="B10" s="24" t="s">
        <v>247</v>
      </c>
      <c r="C10" s="51">
        <v>3</v>
      </c>
      <c r="D10" s="117" t="s">
        <v>248</v>
      </c>
      <c r="E10" s="117"/>
      <c r="F10" s="117"/>
      <c r="G10" s="117"/>
      <c r="H10" s="117"/>
      <c r="I10" s="117"/>
      <c r="J10" s="117"/>
      <c r="K10" s="117"/>
      <c r="L10" s="117"/>
      <c r="M10" s="117"/>
      <c r="N10" s="117"/>
    </row>
    <row r="11" spans="1:14" ht="16.5" customHeight="1" x14ac:dyDescent="0.25">
      <c r="B11" s="105" t="s">
        <v>249</v>
      </c>
      <c r="C11" s="105"/>
      <c r="D11" s="105"/>
      <c r="E11" s="105"/>
      <c r="F11" s="105"/>
      <c r="G11" s="105"/>
      <c r="H11" s="105"/>
      <c r="I11" s="105"/>
      <c r="J11" s="105"/>
      <c r="K11" s="105"/>
      <c r="L11" s="105"/>
      <c r="M11" s="105"/>
      <c r="N11" s="105"/>
    </row>
    <row r="12" spans="1:14" ht="12" customHeight="1" x14ac:dyDescent="0.25"/>
    <row r="13" spans="1:14" ht="19.5" customHeight="1" x14ac:dyDescent="0.25">
      <c r="B13" s="103" t="s">
        <v>250</v>
      </c>
      <c r="C13" s="103"/>
      <c r="D13" s="103"/>
      <c r="E13" s="103"/>
    </row>
    <row r="14" spans="1:14" ht="18" customHeight="1" x14ac:dyDescent="0.25">
      <c r="B14" s="22" t="s">
        <v>177</v>
      </c>
      <c r="C14" s="23" t="s">
        <v>251</v>
      </c>
      <c r="D14" s="23" t="s">
        <v>252</v>
      </c>
      <c r="E14" s="23" t="s">
        <v>253</v>
      </c>
      <c r="G14" s="118" t="str">
        <f>IFERROR(IF(ROUND($D$25-'HIRING ANALYSIS'!$N$66,2)=0,"Base case check:  the Base column reproduces the HIRING ANALYSIS tab exactly.","Base Revenue Achievement is set to "&amp;TEXT($C$8,"0%")&amp;", so the Base column intentionally differs from the HIRING ANALYSIS tab, which always uses 100% of the revenue you entered."),"")</f>
        <v>Base case check:  the Base column reproduces the HIRING ANALYSIS tab exactly.</v>
      </c>
      <c r="H14" s="118"/>
      <c r="I14" s="118"/>
      <c r="J14" s="118"/>
      <c r="K14" s="118"/>
      <c r="L14" s="118"/>
      <c r="M14" s="118"/>
      <c r="N14" s="118"/>
    </row>
    <row r="15" spans="1:14" ht="18.75" customHeight="1" x14ac:dyDescent="0.25">
      <c r="B15" s="54" t="s">
        <v>254</v>
      </c>
      <c r="C15" s="82">
        <f>$C$7</f>
        <v>0.7</v>
      </c>
      <c r="D15" s="82">
        <f>$C$8</f>
        <v>1</v>
      </c>
      <c r="E15" s="82">
        <f>$C$9</f>
        <v>1.2</v>
      </c>
      <c r="G15" s="118"/>
      <c r="H15" s="118"/>
      <c r="I15" s="118"/>
      <c r="J15" s="118"/>
      <c r="K15" s="118"/>
      <c r="L15" s="118"/>
      <c r="M15" s="118"/>
      <c r="N15" s="118"/>
    </row>
    <row r="16" spans="1:14" ht="18.75" customHeight="1" x14ac:dyDescent="0.25">
      <c r="B16" s="54" t="s">
        <v>255</v>
      </c>
      <c r="C16" s="55">
        <f>IFERROR('BUSINESS INPUTS'!$C$28*C15,0)</f>
        <v>15399.999999999998</v>
      </c>
      <c r="D16" s="55">
        <f>IFERROR('BUSINESS INPUTS'!$C$28*D15,0)</f>
        <v>22000</v>
      </c>
      <c r="E16" s="55">
        <f>IFERROR('BUSINESS INPUTS'!$C$28*E15,0)</f>
        <v>26400</v>
      </c>
      <c r="G16" s="118"/>
      <c r="H16" s="118"/>
      <c r="I16" s="118"/>
      <c r="J16" s="118"/>
      <c r="K16" s="118"/>
      <c r="L16" s="118"/>
      <c r="M16" s="118"/>
      <c r="N16" s="118"/>
    </row>
    <row r="17" spans="2:14" ht="18.75" customHeight="1" x14ac:dyDescent="0.25">
      <c r="B17" s="54" t="s">
        <v>256</v>
      </c>
      <c r="C17" s="55">
        <f>IFERROR(C16*'BUSINESS INPUTS'!$C$15,0)</f>
        <v>8470</v>
      </c>
      <c r="D17" s="55">
        <f>IFERROR(D16*'BUSINESS INPUTS'!$C$15,0)</f>
        <v>12100.000000000002</v>
      </c>
      <c r="E17" s="55">
        <f>IFERROR(E16*'BUSINESS INPUTS'!$C$15,0)</f>
        <v>14520.000000000002</v>
      </c>
    </row>
    <row r="18" spans="2:14" ht="18.75" customHeight="1" x14ac:dyDescent="0.25">
      <c r="B18" s="54" t="s">
        <v>126</v>
      </c>
      <c r="C18" s="55">
        <f>'HIRE INPUTS'!$C$63</f>
        <v>8883.3333333333339</v>
      </c>
      <c r="D18" s="55">
        <f>'HIRE INPUTS'!$C$63</f>
        <v>8883.3333333333339</v>
      </c>
      <c r="E18" s="55">
        <f>'HIRE INPUTS'!$C$63</f>
        <v>8883.3333333333339</v>
      </c>
    </row>
    <row r="19" spans="2:14" ht="18.75" customHeight="1" x14ac:dyDescent="0.25">
      <c r="B19" s="56" t="s">
        <v>257</v>
      </c>
      <c r="C19" s="57">
        <f>C17-C18</f>
        <v>-413.33333333333394</v>
      </c>
      <c r="D19" s="57">
        <f>D17-D18</f>
        <v>3216.6666666666679</v>
      </c>
      <c r="E19" s="57">
        <f>E17-E18</f>
        <v>5636.6666666666679</v>
      </c>
    </row>
    <row r="20" spans="2:14" ht="18.75" customHeight="1" x14ac:dyDescent="0.25">
      <c r="B20" s="54" t="s">
        <v>258</v>
      </c>
      <c r="C20" s="55">
        <f>'HIRE INPUTS'!$C$62</f>
        <v>106600</v>
      </c>
      <c r="D20" s="55">
        <f>'HIRE INPUTS'!$C$62</f>
        <v>106600</v>
      </c>
      <c r="E20" s="55">
        <f>'HIRE INPUTS'!$C$62</f>
        <v>106600</v>
      </c>
    </row>
    <row r="21" spans="2:14" ht="18.75" customHeight="1" x14ac:dyDescent="0.25">
      <c r="B21" s="54" t="s">
        <v>259</v>
      </c>
      <c r="C21" s="55">
        <f>IFERROR(C16-'HIRING ANALYSIS'!$C$21,0)</f>
        <v>-751.51515151515378</v>
      </c>
      <c r="D21" s="55">
        <f>IFERROR(D16-'HIRING ANALYSIS'!$C$21,0)</f>
        <v>5848.484848484848</v>
      </c>
      <c r="E21" s="55">
        <f>IFERROR(E16-'HIRING ANALYSIS'!$C$21,0)</f>
        <v>10248.484848484848</v>
      </c>
    </row>
    <row r="22" spans="2:14" ht="18.75" customHeight="1" x14ac:dyDescent="0.25">
      <c r="B22" s="54" t="s">
        <v>260</v>
      </c>
      <c r="C22" s="55">
        <f>IFERROR('BUSINESS INPUTS'!$C$11+C19,0)</f>
        <v>11336.666666666666</v>
      </c>
      <c r="D22" s="55">
        <f>IFERROR('BUSINESS INPUTS'!$C$11+D19,0)</f>
        <v>14966.666666666668</v>
      </c>
      <c r="E22" s="55">
        <f>IFERROR('BUSINESS INPUTS'!$C$11+E19,0)</f>
        <v>17386.666666666668</v>
      </c>
    </row>
    <row r="23" spans="2:14" ht="18.75" customHeight="1" x14ac:dyDescent="0.25">
      <c r="B23" s="54" t="s">
        <v>261</v>
      </c>
      <c r="C23" s="58">
        <f>IFERROR(IF('BUSINESS INPUTS'!$C$8+C16=0,0,C22/('BUSINESS INPUTS'!$C$8+C16)),0)</f>
        <v>8.0745489078822411E-2</v>
      </c>
      <c r="D23" s="58">
        <f>IFERROR(IF('BUSINESS INPUTS'!$C$8+D16=0,0,D22/('BUSINESS INPUTS'!$C$8+D16)),0)</f>
        <v>0.10181405895691611</v>
      </c>
      <c r="E23" s="58">
        <f>IFERROR(IF('BUSINESS INPUTS'!$C$8+E16=0,0,E22/('BUSINESS INPUTS'!$C$8+E16)),0)</f>
        <v>0.11483927785116689</v>
      </c>
    </row>
    <row r="24" spans="2:14" ht="18.75" customHeight="1" x14ac:dyDescent="0.25">
      <c r="B24" s="54" t="s">
        <v>262</v>
      </c>
      <c r="C24" s="55">
        <f>IFERROR(SUM($C$31:$N$31)+'HIRE INPUTS'!$C$54,0)</f>
        <v>-17665.000000000029</v>
      </c>
      <c r="D24" s="55">
        <f>IFERROR(SUM($C$33:$N$33)+'HIRE INPUTS'!$C$54,0)</f>
        <v>20450.000000000011</v>
      </c>
      <c r="E24" s="55">
        <f>IFERROR(SUM($C$35:$N$35)+'HIRE INPUTS'!$C$54,0)</f>
        <v>45860.000000000015</v>
      </c>
    </row>
    <row r="25" spans="2:14" ht="18.75" customHeight="1" x14ac:dyDescent="0.25">
      <c r="B25" s="56" t="s">
        <v>263</v>
      </c>
      <c r="C25" s="57">
        <f>N32</f>
        <v>-32165.000000000029</v>
      </c>
      <c r="D25" s="57">
        <f>N34</f>
        <v>5950.0000000000109</v>
      </c>
      <c r="E25" s="57">
        <f>N36</f>
        <v>31360.000000000011</v>
      </c>
    </row>
    <row r="26" spans="2:14" ht="18.75" customHeight="1" x14ac:dyDescent="0.25">
      <c r="B26" s="56" t="s">
        <v>264</v>
      </c>
      <c r="C26" s="57">
        <f>MAX(0,-MIN($C$32:$N$32))</f>
        <v>32165.000000000029</v>
      </c>
      <c r="D26" s="57">
        <f>MAX(0,-MIN($C$34:$N$34))</f>
        <v>23191.666666666668</v>
      </c>
      <c r="E26" s="57">
        <f>MAX(0,-MIN($C$36:$N$36))</f>
        <v>21376.666666666668</v>
      </c>
    </row>
    <row r="27" spans="2:14" ht="12" customHeight="1" x14ac:dyDescent="0.25"/>
    <row r="28" spans="2:14" ht="19.5" customHeight="1" x14ac:dyDescent="0.25">
      <c r="B28" s="115" t="s">
        <v>265</v>
      </c>
      <c r="C28" s="115"/>
      <c r="D28" s="115"/>
      <c r="E28" s="115"/>
      <c r="F28" s="115"/>
      <c r="G28" s="115"/>
      <c r="H28" s="115"/>
      <c r="I28" s="115"/>
      <c r="J28" s="115"/>
      <c r="K28" s="115"/>
      <c r="L28" s="115"/>
      <c r="M28" s="115"/>
      <c r="N28" s="115"/>
    </row>
    <row r="29" spans="2:14" ht="18.75" customHeight="1" x14ac:dyDescent="0.25">
      <c r="B29" s="67" t="s">
        <v>212</v>
      </c>
      <c r="C29" s="68" t="s">
        <v>213</v>
      </c>
      <c r="D29" s="68" t="s">
        <v>214</v>
      </c>
      <c r="E29" s="68" t="s">
        <v>215</v>
      </c>
      <c r="F29" s="68" t="s">
        <v>216</v>
      </c>
      <c r="G29" s="68" t="s">
        <v>217</v>
      </c>
      <c r="H29" s="68" t="s">
        <v>218</v>
      </c>
      <c r="I29" s="68" t="s">
        <v>219</v>
      </c>
      <c r="J29" s="68" t="s">
        <v>220</v>
      </c>
      <c r="K29" s="68" t="s">
        <v>221</v>
      </c>
      <c r="L29" s="68" t="s">
        <v>222</v>
      </c>
      <c r="M29" s="68" t="s">
        <v>223</v>
      </c>
      <c r="N29" s="68" t="s">
        <v>224</v>
      </c>
    </row>
    <row r="30" spans="2:14" ht="12.75" customHeight="1" x14ac:dyDescent="0.25">
      <c r="B30" s="71" t="s">
        <v>266</v>
      </c>
      <c r="C30" s="72">
        <v>1</v>
      </c>
      <c r="D30" s="72">
        <v>2</v>
      </c>
      <c r="E30" s="72">
        <v>3</v>
      </c>
      <c r="F30" s="72">
        <v>4</v>
      </c>
      <c r="G30" s="72">
        <v>5</v>
      </c>
      <c r="H30" s="72">
        <v>6</v>
      </c>
      <c r="I30" s="72">
        <v>7</v>
      </c>
      <c r="J30" s="72">
        <v>8</v>
      </c>
      <c r="K30" s="72">
        <v>9</v>
      </c>
      <c r="L30" s="72">
        <v>10</v>
      </c>
      <c r="M30" s="72">
        <v>11</v>
      </c>
      <c r="N30" s="72">
        <v>12</v>
      </c>
    </row>
    <row r="31" spans="2:14" ht="16.5" customHeight="1" x14ac:dyDescent="0.25">
      <c r="B31" s="83" t="s">
        <v>267</v>
      </c>
      <c r="C31" s="75">
        <f>IFERROR('BUSINESS INPUTS'!$C$28*$C$7*'HIRING ANALYSIS'!C59*'BUSINESS INPUTS'!$C$15-'HIRE INPUTS'!$C$63-IF(C$30=1,'HIRE INPUTS'!$C$54,0),0)</f>
        <v>-21265.833333333336</v>
      </c>
      <c r="D31" s="75">
        <f>IFERROR('BUSINESS INPUTS'!$C$28*$C$7*'HIRING ANALYSIS'!D59*'BUSINESS INPUTS'!$C$15-'HIRE INPUTS'!$C$63-IF(D$30=1,'HIRE INPUTS'!$C$54,0),0)</f>
        <v>-4648.3333333333339</v>
      </c>
      <c r="E31" s="75">
        <f>IFERROR('BUSINESS INPUTS'!$C$28*$C$7*'HIRING ANALYSIS'!E59*'BUSINESS INPUTS'!$C$15-'HIRE INPUTS'!$C$63-IF(E$30=1,'HIRE INPUTS'!$C$54,0),0)</f>
        <v>-2530.8333333333348</v>
      </c>
      <c r="F31" s="75">
        <f>IFERROR('BUSINESS INPUTS'!$C$28*$C$7*'HIRING ANALYSIS'!F59*'BUSINESS INPUTS'!$C$15-'HIRE INPUTS'!$C$63-IF(F$30=1,'HIRE INPUTS'!$C$54,0),0)</f>
        <v>-413.33333333333394</v>
      </c>
      <c r="G31" s="75">
        <f>IFERROR('BUSINESS INPUTS'!$C$28*$C$7*'HIRING ANALYSIS'!G59*'BUSINESS INPUTS'!$C$15-'HIRE INPUTS'!$C$63-IF(G$30=1,'HIRE INPUTS'!$C$54,0),0)</f>
        <v>-413.33333333333394</v>
      </c>
      <c r="H31" s="75">
        <f>IFERROR('BUSINESS INPUTS'!$C$28*$C$7*'HIRING ANALYSIS'!H59*'BUSINESS INPUTS'!$C$15-'HIRE INPUTS'!$C$63-IF(H$30=1,'HIRE INPUTS'!$C$54,0),0)</f>
        <v>-413.33333333333394</v>
      </c>
      <c r="I31" s="75">
        <f>IFERROR('BUSINESS INPUTS'!$C$28*$C$7*'HIRING ANALYSIS'!I59*'BUSINESS INPUTS'!$C$15-'HIRE INPUTS'!$C$63-IF(I$30=1,'HIRE INPUTS'!$C$54,0),0)</f>
        <v>-413.33333333333394</v>
      </c>
      <c r="J31" s="75">
        <f>IFERROR('BUSINESS INPUTS'!$C$28*$C$7*'HIRING ANALYSIS'!J59*'BUSINESS INPUTS'!$C$15-'HIRE INPUTS'!$C$63-IF(J$30=1,'HIRE INPUTS'!$C$54,0),0)</f>
        <v>-413.33333333333394</v>
      </c>
      <c r="K31" s="75">
        <f>IFERROR('BUSINESS INPUTS'!$C$28*$C$7*'HIRING ANALYSIS'!K59*'BUSINESS INPUTS'!$C$15-'HIRE INPUTS'!$C$63-IF(K$30=1,'HIRE INPUTS'!$C$54,0),0)</f>
        <v>-413.33333333333394</v>
      </c>
      <c r="L31" s="75">
        <f>IFERROR('BUSINESS INPUTS'!$C$28*$C$7*'HIRING ANALYSIS'!L59*'BUSINESS INPUTS'!$C$15-'HIRE INPUTS'!$C$63-IF(L$30=1,'HIRE INPUTS'!$C$54,0),0)</f>
        <v>-413.33333333333394</v>
      </c>
      <c r="M31" s="75">
        <f>IFERROR('BUSINESS INPUTS'!$C$28*$C$7*'HIRING ANALYSIS'!M59*'BUSINESS INPUTS'!$C$15-'HIRE INPUTS'!$C$63-IF(M$30=1,'HIRE INPUTS'!$C$54,0),0)</f>
        <v>-413.33333333333394</v>
      </c>
      <c r="N31" s="75">
        <f>IFERROR('BUSINESS INPUTS'!$C$28*$C$7*'HIRING ANALYSIS'!N59*'BUSINESS INPUTS'!$C$15-'HIRE INPUTS'!$C$63-IF(N$30=1,'HIRE INPUTS'!$C$54,0),0)</f>
        <v>-413.33333333333394</v>
      </c>
    </row>
    <row r="32" spans="2:14" ht="18" customHeight="1" x14ac:dyDescent="0.25">
      <c r="B32" s="84" t="s">
        <v>268</v>
      </c>
      <c r="C32" s="81">
        <f>C31</f>
        <v>-21265.833333333336</v>
      </c>
      <c r="D32" s="81">
        <f t="shared" ref="D32:N32" si="0">C32+D31</f>
        <v>-25914.166666666672</v>
      </c>
      <c r="E32" s="81">
        <f t="shared" si="0"/>
        <v>-28445.000000000007</v>
      </c>
      <c r="F32" s="81">
        <f t="shared" si="0"/>
        <v>-28858.333333333343</v>
      </c>
      <c r="G32" s="81">
        <f t="shared" si="0"/>
        <v>-29271.666666666679</v>
      </c>
      <c r="H32" s="81">
        <f t="shared" si="0"/>
        <v>-29685.000000000015</v>
      </c>
      <c r="I32" s="81">
        <f t="shared" si="0"/>
        <v>-30098.33333333335</v>
      </c>
      <c r="J32" s="81">
        <f t="shared" si="0"/>
        <v>-30511.666666666686</v>
      </c>
      <c r="K32" s="81">
        <f t="shared" si="0"/>
        <v>-30925.000000000022</v>
      </c>
      <c r="L32" s="81">
        <f t="shared" si="0"/>
        <v>-31338.333333333358</v>
      </c>
      <c r="M32" s="81">
        <f t="shared" si="0"/>
        <v>-31751.666666666693</v>
      </c>
      <c r="N32" s="81">
        <f t="shared" si="0"/>
        <v>-32165.000000000029</v>
      </c>
    </row>
    <row r="33" spans="2:14" ht="16.5" customHeight="1" x14ac:dyDescent="0.25">
      <c r="B33" s="83" t="s">
        <v>269</v>
      </c>
      <c r="C33" s="75">
        <f>IFERROR('BUSINESS INPUTS'!$C$28*$C$8*'HIRING ANALYSIS'!C59*'BUSINESS INPUTS'!$C$15-'HIRE INPUTS'!$C$63-IF(C$30=1,'HIRE INPUTS'!$C$54,0),0)</f>
        <v>-20358.333333333336</v>
      </c>
      <c r="D33" s="75">
        <f>IFERROR('BUSINESS INPUTS'!$C$28*$C$8*'HIRING ANALYSIS'!D59*'BUSINESS INPUTS'!$C$15-'HIRE INPUTS'!$C$63-IF(D$30=1,'HIRE INPUTS'!$C$54,0),0)</f>
        <v>-2833.333333333333</v>
      </c>
      <c r="E33" s="75">
        <f>IFERROR('BUSINESS INPUTS'!$C$28*$C$8*'HIRING ANALYSIS'!E59*'BUSINESS INPUTS'!$C$15-'HIRE INPUTS'!$C$63-IF(E$30=1,'HIRE INPUTS'!$C$54,0),0)</f>
        <v>191.66666666666606</v>
      </c>
      <c r="F33" s="75">
        <f>IFERROR('BUSINESS INPUTS'!$C$28*$C$8*'HIRING ANALYSIS'!F59*'BUSINESS INPUTS'!$C$15-'HIRE INPUTS'!$C$63-IF(F$30=1,'HIRE INPUTS'!$C$54,0),0)</f>
        <v>3216.6666666666679</v>
      </c>
      <c r="G33" s="75">
        <f>IFERROR('BUSINESS INPUTS'!$C$28*$C$8*'HIRING ANALYSIS'!G59*'BUSINESS INPUTS'!$C$15-'HIRE INPUTS'!$C$63-IF(G$30=1,'HIRE INPUTS'!$C$54,0),0)</f>
        <v>3216.6666666666679</v>
      </c>
      <c r="H33" s="75">
        <f>IFERROR('BUSINESS INPUTS'!$C$28*$C$8*'HIRING ANALYSIS'!H59*'BUSINESS INPUTS'!$C$15-'HIRE INPUTS'!$C$63-IF(H$30=1,'HIRE INPUTS'!$C$54,0),0)</f>
        <v>3216.6666666666679</v>
      </c>
      <c r="I33" s="75">
        <f>IFERROR('BUSINESS INPUTS'!$C$28*$C$8*'HIRING ANALYSIS'!I59*'BUSINESS INPUTS'!$C$15-'HIRE INPUTS'!$C$63-IF(I$30=1,'HIRE INPUTS'!$C$54,0),0)</f>
        <v>3216.6666666666679</v>
      </c>
      <c r="J33" s="75">
        <f>IFERROR('BUSINESS INPUTS'!$C$28*$C$8*'HIRING ANALYSIS'!J59*'BUSINESS INPUTS'!$C$15-'HIRE INPUTS'!$C$63-IF(J$30=1,'HIRE INPUTS'!$C$54,0),0)</f>
        <v>3216.6666666666679</v>
      </c>
      <c r="K33" s="75">
        <f>IFERROR('BUSINESS INPUTS'!$C$28*$C$8*'HIRING ANALYSIS'!K59*'BUSINESS INPUTS'!$C$15-'HIRE INPUTS'!$C$63-IF(K$30=1,'HIRE INPUTS'!$C$54,0),0)</f>
        <v>3216.6666666666679</v>
      </c>
      <c r="L33" s="75">
        <f>IFERROR('BUSINESS INPUTS'!$C$28*$C$8*'HIRING ANALYSIS'!L59*'BUSINESS INPUTS'!$C$15-'HIRE INPUTS'!$C$63-IF(L$30=1,'HIRE INPUTS'!$C$54,0),0)</f>
        <v>3216.6666666666679</v>
      </c>
      <c r="M33" s="75">
        <f>IFERROR('BUSINESS INPUTS'!$C$28*$C$8*'HIRING ANALYSIS'!M59*'BUSINESS INPUTS'!$C$15-'HIRE INPUTS'!$C$63-IF(M$30=1,'HIRE INPUTS'!$C$54,0),0)</f>
        <v>3216.6666666666679</v>
      </c>
      <c r="N33" s="75">
        <f>IFERROR('BUSINESS INPUTS'!$C$28*$C$8*'HIRING ANALYSIS'!N59*'BUSINESS INPUTS'!$C$15-'HIRE INPUTS'!$C$63-IF(N$30=1,'HIRE INPUTS'!$C$54,0),0)</f>
        <v>3216.6666666666679</v>
      </c>
    </row>
    <row r="34" spans="2:14" ht="18" customHeight="1" x14ac:dyDescent="0.25">
      <c r="B34" s="84" t="s">
        <v>270</v>
      </c>
      <c r="C34" s="81">
        <f>C33</f>
        <v>-20358.333333333336</v>
      </c>
      <c r="D34" s="81">
        <f t="shared" ref="D34:N34" si="1">C34+D33</f>
        <v>-23191.666666666668</v>
      </c>
      <c r="E34" s="81">
        <f t="shared" si="1"/>
        <v>-23000</v>
      </c>
      <c r="F34" s="81">
        <f t="shared" si="1"/>
        <v>-19783.333333333332</v>
      </c>
      <c r="G34" s="81">
        <f t="shared" si="1"/>
        <v>-16566.666666666664</v>
      </c>
      <c r="H34" s="81">
        <f t="shared" si="1"/>
        <v>-13349.999999999996</v>
      </c>
      <c r="I34" s="81">
        <f t="shared" si="1"/>
        <v>-10133.333333333328</v>
      </c>
      <c r="J34" s="81">
        <f t="shared" si="1"/>
        <v>-6916.6666666666606</v>
      </c>
      <c r="K34" s="81">
        <f t="shared" si="1"/>
        <v>-3699.9999999999927</v>
      </c>
      <c r="L34" s="81">
        <f t="shared" si="1"/>
        <v>-483.33333333332484</v>
      </c>
      <c r="M34" s="81">
        <f t="shared" si="1"/>
        <v>2733.333333333343</v>
      </c>
      <c r="N34" s="81">
        <f t="shared" si="1"/>
        <v>5950.0000000000109</v>
      </c>
    </row>
    <row r="35" spans="2:14" ht="16.5" customHeight="1" x14ac:dyDescent="0.25">
      <c r="B35" s="83" t="s">
        <v>271</v>
      </c>
      <c r="C35" s="75">
        <f>IFERROR('BUSINESS INPUTS'!$C$28*$C$9*'HIRING ANALYSIS'!C59*'BUSINESS INPUTS'!$C$15-'HIRE INPUTS'!$C$63-IF(C$30=1,'HIRE INPUTS'!$C$54,0),0)</f>
        <v>-19753.333333333336</v>
      </c>
      <c r="D35" s="75">
        <f>IFERROR('BUSINESS INPUTS'!$C$28*$C$9*'HIRING ANALYSIS'!D59*'BUSINESS INPUTS'!$C$15-'HIRE INPUTS'!$C$63-IF(D$30=1,'HIRE INPUTS'!$C$54,0),0)</f>
        <v>-1623.333333333333</v>
      </c>
      <c r="E35" s="75">
        <f>IFERROR('BUSINESS INPUTS'!$C$28*$C$9*'HIRING ANALYSIS'!E59*'BUSINESS INPUTS'!$C$15-'HIRE INPUTS'!$C$63-IF(E$30=1,'HIRE INPUTS'!$C$54,0),0)</f>
        <v>2006.6666666666661</v>
      </c>
      <c r="F35" s="75">
        <f>IFERROR('BUSINESS INPUTS'!$C$28*$C$9*'HIRING ANALYSIS'!F59*'BUSINESS INPUTS'!$C$15-'HIRE INPUTS'!$C$63-IF(F$30=1,'HIRE INPUTS'!$C$54,0),0)</f>
        <v>5636.6666666666679</v>
      </c>
      <c r="G35" s="75">
        <f>IFERROR('BUSINESS INPUTS'!$C$28*$C$9*'HIRING ANALYSIS'!G59*'BUSINESS INPUTS'!$C$15-'HIRE INPUTS'!$C$63-IF(G$30=1,'HIRE INPUTS'!$C$54,0),0)</f>
        <v>5636.6666666666679</v>
      </c>
      <c r="H35" s="75">
        <f>IFERROR('BUSINESS INPUTS'!$C$28*$C$9*'HIRING ANALYSIS'!H59*'BUSINESS INPUTS'!$C$15-'HIRE INPUTS'!$C$63-IF(H$30=1,'HIRE INPUTS'!$C$54,0),0)</f>
        <v>5636.6666666666679</v>
      </c>
      <c r="I35" s="75">
        <f>IFERROR('BUSINESS INPUTS'!$C$28*$C$9*'HIRING ANALYSIS'!I59*'BUSINESS INPUTS'!$C$15-'HIRE INPUTS'!$C$63-IF(I$30=1,'HIRE INPUTS'!$C$54,0),0)</f>
        <v>5636.6666666666679</v>
      </c>
      <c r="J35" s="75">
        <f>IFERROR('BUSINESS INPUTS'!$C$28*$C$9*'HIRING ANALYSIS'!J59*'BUSINESS INPUTS'!$C$15-'HIRE INPUTS'!$C$63-IF(J$30=1,'HIRE INPUTS'!$C$54,0),0)</f>
        <v>5636.6666666666679</v>
      </c>
      <c r="K35" s="75">
        <f>IFERROR('BUSINESS INPUTS'!$C$28*$C$9*'HIRING ANALYSIS'!K59*'BUSINESS INPUTS'!$C$15-'HIRE INPUTS'!$C$63-IF(K$30=1,'HIRE INPUTS'!$C$54,0),0)</f>
        <v>5636.6666666666679</v>
      </c>
      <c r="L35" s="75">
        <f>IFERROR('BUSINESS INPUTS'!$C$28*$C$9*'HIRING ANALYSIS'!L59*'BUSINESS INPUTS'!$C$15-'HIRE INPUTS'!$C$63-IF(L$30=1,'HIRE INPUTS'!$C$54,0),0)</f>
        <v>5636.6666666666679</v>
      </c>
      <c r="M35" s="75">
        <f>IFERROR('BUSINESS INPUTS'!$C$28*$C$9*'HIRING ANALYSIS'!M59*'BUSINESS INPUTS'!$C$15-'HIRE INPUTS'!$C$63-IF(M$30=1,'HIRE INPUTS'!$C$54,0),0)</f>
        <v>5636.6666666666679</v>
      </c>
      <c r="N35" s="75">
        <f>IFERROR('BUSINESS INPUTS'!$C$28*$C$9*'HIRING ANALYSIS'!N59*'BUSINESS INPUTS'!$C$15-'HIRE INPUTS'!$C$63-IF(N$30=1,'HIRE INPUTS'!$C$54,0),0)</f>
        <v>5636.6666666666679</v>
      </c>
    </row>
    <row r="36" spans="2:14" ht="18" customHeight="1" x14ac:dyDescent="0.25">
      <c r="B36" s="84" t="s">
        <v>272</v>
      </c>
      <c r="C36" s="81">
        <f>C35</f>
        <v>-19753.333333333336</v>
      </c>
      <c r="D36" s="81">
        <f t="shared" ref="D36:N36" si="2">C36+D35</f>
        <v>-21376.666666666668</v>
      </c>
      <c r="E36" s="81">
        <f t="shared" si="2"/>
        <v>-19370</v>
      </c>
      <c r="F36" s="81">
        <f t="shared" si="2"/>
        <v>-13733.333333333332</v>
      </c>
      <c r="G36" s="81">
        <f t="shared" si="2"/>
        <v>-8096.6666666666642</v>
      </c>
      <c r="H36" s="81">
        <f t="shared" si="2"/>
        <v>-2459.9999999999964</v>
      </c>
      <c r="I36" s="81">
        <f t="shared" si="2"/>
        <v>3176.6666666666715</v>
      </c>
      <c r="J36" s="81">
        <f t="shared" si="2"/>
        <v>8813.3333333333394</v>
      </c>
      <c r="K36" s="81">
        <f t="shared" si="2"/>
        <v>14450.000000000007</v>
      </c>
      <c r="L36" s="81">
        <f t="shared" si="2"/>
        <v>20086.666666666675</v>
      </c>
      <c r="M36" s="81">
        <f t="shared" si="2"/>
        <v>25723.333333333343</v>
      </c>
      <c r="N36" s="81">
        <f t="shared" si="2"/>
        <v>31360.000000000011</v>
      </c>
    </row>
    <row r="37" spans="2:14" ht="12" customHeight="1" x14ac:dyDescent="0.25"/>
    <row r="38" spans="2:14" ht="19.5" customHeight="1" x14ac:dyDescent="0.25">
      <c r="B38" s="115" t="s">
        <v>273</v>
      </c>
      <c r="C38" s="115"/>
      <c r="D38" s="115"/>
      <c r="E38" s="115"/>
      <c r="F38" s="115"/>
      <c r="G38" s="115"/>
      <c r="H38" s="115"/>
      <c r="I38" s="115"/>
      <c r="J38" s="115"/>
      <c r="K38" s="115"/>
      <c r="L38" s="115"/>
      <c r="M38" s="115"/>
      <c r="N38" s="115"/>
    </row>
    <row r="39" spans="2:14" ht="16.5" customHeight="1" x14ac:dyDescent="0.25">
      <c r="B39" s="105" t="s">
        <v>274</v>
      </c>
      <c r="C39" s="105"/>
      <c r="D39" s="105"/>
      <c r="E39" s="105"/>
      <c r="F39" s="105"/>
      <c r="G39" s="105"/>
      <c r="H39" s="105"/>
      <c r="I39" s="105"/>
      <c r="J39" s="105"/>
      <c r="K39" s="105"/>
      <c r="L39" s="105"/>
      <c r="M39" s="105"/>
      <c r="N39" s="105"/>
    </row>
    <row r="40" spans="2:14" ht="16.5" customHeight="1" x14ac:dyDescent="0.25">
      <c r="B40" s="83" t="s">
        <v>275</v>
      </c>
      <c r="C40" s="74">
        <f>IFERROR(IF(C$30-$C$10&lt;1,0,IF('BUSINESS INPUTS'!$C$29&lt;=1,1,MIN(1,(C$30-$C$10)/'BUSINESS INPUTS'!$C$29))),0)</f>
        <v>0</v>
      </c>
      <c r="D40" s="74">
        <f>IFERROR(IF(D$30-$C$10&lt;1,0,IF('BUSINESS INPUTS'!$C$29&lt;=1,1,MIN(1,(D$30-$C$10)/'BUSINESS INPUTS'!$C$29))),0)</f>
        <v>0</v>
      </c>
      <c r="E40" s="74">
        <f>IFERROR(IF(E$30-$C$10&lt;1,0,IF('BUSINESS INPUTS'!$C$29&lt;=1,1,MIN(1,(E$30-$C$10)/'BUSINESS INPUTS'!$C$29))),0)</f>
        <v>0</v>
      </c>
      <c r="F40" s="74">
        <f>IFERROR(IF(F$30-$C$10&lt;1,0,IF('BUSINESS INPUTS'!$C$29&lt;=1,1,MIN(1,(F$30-$C$10)/'BUSINESS INPUTS'!$C$29))),0)</f>
        <v>0.25</v>
      </c>
      <c r="G40" s="74">
        <f>IFERROR(IF(G$30-$C$10&lt;1,0,IF('BUSINESS INPUTS'!$C$29&lt;=1,1,MIN(1,(G$30-$C$10)/'BUSINESS INPUTS'!$C$29))),0)</f>
        <v>0.5</v>
      </c>
      <c r="H40" s="74">
        <f>IFERROR(IF(H$30-$C$10&lt;1,0,IF('BUSINESS INPUTS'!$C$29&lt;=1,1,MIN(1,(H$30-$C$10)/'BUSINESS INPUTS'!$C$29))),0)</f>
        <v>0.75</v>
      </c>
      <c r="I40" s="74">
        <f>IFERROR(IF(I$30-$C$10&lt;1,0,IF('BUSINESS INPUTS'!$C$29&lt;=1,1,MIN(1,(I$30-$C$10)/'BUSINESS INPUTS'!$C$29))),0)</f>
        <v>1</v>
      </c>
      <c r="J40" s="74">
        <f>IFERROR(IF(J$30-$C$10&lt;1,0,IF('BUSINESS INPUTS'!$C$29&lt;=1,1,MIN(1,(J$30-$C$10)/'BUSINESS INPUTS'!$C$29))),0)</f>
        <v>1</v>
      </c>
      <c r="K40" s="74">
        <f>IFERROR(IF(K$30-$C$10&lt;1,0,IF('BUSINESS INPUTS'!$C$29&lt;=1,1,MIN(1,(K$30-$C$10)/'BUSINESS INPUTS'!$C$29))),0)</f>
        <v>1</v>
      </c>
      <c r="L40" s="74">
        <f>IFERROR(IF(L$30-$C$10&lt;1,0,IF('BUSINESS INPUTS'!$C$29&lt;=1,1,MIN(1,(L$30-$C$10)/'BUSINESS INPUTS'!$C$29))),0)</f>
        <v>1</v>
      </c>
      <c r="M40" s="74">
        <f>IFERROR(IF(M$30-$C$10&lt;1,0,IF('BUSINESS INPUTS'!$C$29&lt;=1,1,MIN(1,(M$30-$C$10)/'BUSINESS INPUTS'!$C$29))),0)</f>
        <v>1</v>
      </c>
      <c r="N40" s="74">
        <f>IFERROR(IF(N$30-$C$10&lt;1,0,IF('BUSINESS INPUTS'!$C$29&lt;=1,1,MIN(1,(N$30-$C$10)/'BUSINESS INPUTS'!$C$29))),0)</f>
        <v>1</v>
      </c>
    </row>
    <row r="41" spans="2:14" ht="16.5" customHeight="1" x14ac:dyDescent="0.25">
      <c r="B41" s="83" t="s">
        <v>276</v>
      </c>
      <c r="C41" s="75">
        <f>IFERROR('BUSINESS INPUTS'!$C$28*$C$8*C$40*'BUSINESS INPUTS'!$C$15-'HIRE INPUTS'!$C$63-IF(C$30=1,'HIRE INPUTS'!$C$54,0),0)</f>
        <v>-23383.333333333336</v>
      </c>
      <c r="D41" s="75">
        <f>IFERROR('BUSINESS INPUTS'!$C$28*$C$8*D$40*'BUSINESS INPUTS'!$C$15-'HIRE INPUTS'!$C$63-IF(D$30=1,'HIRE INPUTS'!$C$54,0),0)</f>
        <v>-8883.3333333333339</v>
      </c>
      <c r="E41" s="75">
        <f>IFERROR('BUSINESS INPUTS'!$C$28*$C$8*E$40*'BUSINESS INPUTS'!$C$15-'HIRE INPUTS'!$C$63-IF(E$30=1,'HIRE INPUTS'!$C$54,0),0)</f>
        <v>-8883.3333333333339</v>
      </c>
      <c r="F41" s="75">
        <f>IFERROR('BUSINESS INPUTS'!$C$28*$C$8*F$40*'BUSINESS INPUTS'!$C$15-'HIRE INPUTS'!$C$63-IF(F$30=1,'HIRE INPUTS'!$C$54,0),0)</f>
        <v>-5858.3333333333339</v>
      </c>
      <c r="G41" s="75">
        <f>IFERROR('BUSINESS INPUTS'!$C$28*$C$8*G$40*'BUSINESS INPUTS'!$C$15-'HIRE INPUTS'!$C$63-IF(G$30=1,'HIRE INPUTS'!$C$54,0),0)</f>
        <v>-2833.333333333333</v>
      </c>
      <c r="H41" s="75">
        <f>IFERROR('BUSINESS INPUTS'!$C$28*$C$8*H$40*'BUSINESS INPUTS'!$C$15-'HIRE INPUTS'!$C$63-IF(H$30=1,'HIRE INPUTS'!$C$54,0),0)</f>
        <v>191.66666666666606</v>
      </c>
      <c r="I41" s="75">
        <f>IFERROR('BUSINESS INPUTS'!$C$28*$C$8*I$40*'BUSINESS INPUTS'!$C$15-'HIRE INPUTS'!$C$63-IF(I$30=1,'HIRE INPUTS'!$C$54,0),0)</f>
        <v>3216.6666666666679</v>
      </c>
      <c r="J41" s="75">
        <f>IFERROR('BUSINESS INPUTS'!$C$28*$C$8*J$40*'BUSINESS INPUTS'!$C$15-'HIRE INPUTS'!$C$63-IF(J$30=1,'HIRE INPUTS'!$C$54,0),0)</f>
        <v>3216.6666666666679</v>
      </c>
      <c r="K41" s="75">
        <f>IFERROR('BUSINESS INPUTS'!$C$28*$C$8*K$40*'BUSINESS INPUTS'!$C$15-'HIRE INPUTS'!$C$63-IF(K$30=1,'HIRE INPUTS'!$C$54,0),0)</f>
        <v>3216.6666666666679</v>
      </c>
      <c r="L41" s="75">
        <f>IFERROR('BUSINESS INPUTS'!$C$28*$C$8*L$40*'BUSINESS INPUTS'!$C$15-'HIRE INPUTS'!$C$63-IF(L$30=1,'HIRE INPUTS'!$C$54,0),0)</f>
        <v>3216.6666666666679</v>
      </c>
      <c r="M41" s="75">
        <f>IFERROR('BUSINESS INPUTS'!$C$28*$C$8*M$40*'BUSINESS INPUTS'!$C$15-'HIRE INPUTS'!$C$63-IF(M$30=1,'HIRE INPUTS'!$C$54,0),0)</f>
        <v>3216.6666666666679</v>
      </c>
      <c r="N41" s="75">
        <f>IFERROR('BUSINESS INPUTS'!$C$28*$C$8*N$40*'BUSINESS INPUTS'!$C$15-'HIRE INPUTS'!$C$63-IF(N$30=1,'HIRE INPUTS'!$C$54,0),0)</f>
        <v>3216.6666666666679</v>
      </c>
    </row>
    <row r="42" spans="2:14" ht="18" customHeight="1" x14ac:dyDescent="0.25">
      <c r="B42" s="84" t="s">
        <v>277</v>
      </c>
      <c r="C42" s="81">
        <f>C41</f>
        <v>-23383.333333333336</v>
      </c>
      <c r="D42" s="81">
        <f t="shared" ref="D42:N42" si="3">C42+D41</f>
        <v>-32266.666666666672</v>
      </c>
      <c r="E42" s="81">
        <f t="shared" si="3"/>
        <v>-41150.000000000007</v>
      </c>
      <c r="F42" s="81">
        <f t="shared" si="3"/>
        <v>-47008.333333333343</v>
      </c>
      <c r="G42" s="81">
        <f t="shared" si="3"/>
        <v>-49841.666666666679</v>
      </c>
      <c r="H42" s="81">
        <f t="shared" si="3"/>
        <v>-49650.000000000015</v>
      </c>
      <c r="I42" s="81">
        <f t="shared" si="3"/>
        <v>-46433.333333333343</v>
      </c>
      <c r="J42" s="81">
        <f t="shared" si="3"/>
        <v>-43216.666666666672</v>
      </c>
      <c r="K42" s="81">
        <f t="shared" si="3"/>
        <v>-40000</v>
      </c>
      <c r="L42" s="81">
        <f t="shared" si="3"/>
        <v>-36783.333333333328</v>
      </c>
      <c r="M42" s="81">
        <f t="shared" si="3"/>
        <v>-33566.666666666657</v>
      </c>
      <c r="N42" s="81">
        <f t="shared" si="3"/>
        <v>-30349.999999999989</v>
      </c>
    </row>
    <row r="44" spans="2:14" ht="18" customHeight="1" x14ac:dyDescent="0.25">
      <c r="B44" s="22" t="s">
        <v>177</v>
      </c>
      <c r="C44" s="23" t="s">
        <v>278</v>
      </c>
      <c r="D44" s="23" t="s">
        <v>279</v>
      </c>
      <c r="E44" s="23" t="s">
        <v>203</v>
      </c>
    </row>
    <row r="45" spans="2:14" ht="18.75" customHeight="1" x14ac:dyDescent="0.25">
      <c r="B45" s="54" t="s">
        <v>262</v>
      </c>
      <c r="C45" s="55">
        <f>IFERROR(SUM($C$33:$N$33)+'HIRE INPUTS'!$C$54,0)</f>
        <v>20450.000000000011</v>
      </c>
      <c r="D45" s="55">
        <f>IFERROR(SUM($C$41:$N$41)+'HIRE INPUTS'!$C$54,0)</f>
        <v>-15849.999999999989</v>
      </c>
      <c r="E45" s="61">
        <f>IFERROR(D45-C45,0)</f>
        <v>-36300</v>
      </c>
    </row>
    <row r="46" spans="2:14" ht="18.75" customHeight="1" x14ac:dyDescent="0.25">
      <c r="B46" s="54" t="s">
        <v>263</v>
      </c>
      <c r="C46" s="55">
        <f>N34</f>
        <v>5950.0000000000109</v>
      </c>
      <c r="D46" s="55">
        <f>N42</f>
        <v>-30349.999999999989</v>
      </c>
      <c r="E46" s="61">
        <f>IFERROR(D46-C46,0)</f>
        <v>-36300</v>
      </c>
    </row>
    <row r="47" spans="2:14" ht="18.75" customHeight="1" x14ac:dyDescent="0.25">
      <c r="B47" s="56" t="s">
        <v>264</v>
      </c>
      <c r="C47" s="85">
        <f>MAX(0,-MIN($C$34:$N$34))</f>
        <v>23191.666666666668</v>
      </c>
      <c r="D47" s="85">
        <f>MAX(0,-MIN($C$42:$N$42))</f>
        <v>49841.666666666679</v>
      </c>
      <c r="E47" s="86">
        <f>IFERROR(D47-C47,0)</f>
        <v>26650.000000000011</v>
      </c>
    </row>
    <row r="48" spans="2:14" ht="12" customHeight="1" x14ac:dyDescent="0.25"/>
    <row r="49" spans="2:5" ht="19.5" customHeight="1" x14ac:dyDescent="0.25">
      <c r="B49" s="103" t="s">
        <v>280</v>
      </c>
      <c r="C49" s="103"/>
      <c r="D49" s="103"/>
      <c r="E49" s="103"/>
    </row>
    <row r="50" spans="2:5" ht="18" customHeight="1" x14ac:dyDescent="0.25">
      <c r="B50" s="22" t="s">
        <v>177</v>
      </c>
      <c r="C50" s="23" t="s">
        <v>123</v>
      </c>
    </row>
    <row r="51" spans="2:5" ht="18.75" customHeight="1" x14ac:dyDescent="0.25">
      <c r="B51" s="54" t="s">
        <v>157</v>
      </c>
      <c r="C51" s="55">
        <f>'BUSINESS INPUTS'!$C$22</f>
        <v>96000</v>
      </c>
    </row>
    <row r="52" spans="2:5" ht="18.75" customHeight="1" x14ac:dyDescent="0.25">
      <c r="B52" s="54" t="s">
        <v>281</v>
      </c>
      <c r="C52" s="55">
        <f>'BUSINESS INPUTS'!$C$23</f>
        <v>45000</v>
      </c>
    </row>
    <row r="53" spans="2:5" ht="18.75" customHeight="1" x14ac:dyDescent="0.25">
      <c r="B53" s="56" t="s">
        <v>161</v>
      </c>
      <c r="C53" s="57">
        <f>'BUSINESS INPUTS'!$C$24</f>
        <v>51000</v>
      </c>
    </row>
    <row r="54" spans="2:5" ht="18.75" customHeight="1" x14ac:dyDescent="0.25">
      <c r="B54" s="54" t="s">
        <v>180</v>
      </c>
      <c r="C54" s="55">
        <f>'HIRE INPUTS'!$C$54</f>
        <v>14500</v>
      </c>
    </row>
    <row r="55" spans="2:5" ht="18.75" customHeight="1" x14ac:dyDescent="0.25">
      <c r="B55" s="56" t="s">
        <v>282</v>
      </c>
      <c r="C55" s="57">
        <f>D26</f>
        <v>23191.666666666668</v>
      </c>
    </row>
    <row r="56" spans="2:5" ht="18.75" customHeight="1" x14ac:dyDescent="0.25">
      <c r="B56" s="56" t="s">
        <v>283</v>
      </c>
      <c r="C56" s="57">
        <f>IFERROR(C53-C55,0)</f>
        <v>27808.333333333332</v>
      </c>
    </row>
    <row r="57" spans="2:5" ht="15" customHeight="1" x14ac:dyDescent="0.25">
      <c r="B57" s="119" t="s">
        <v>284</v>
      </c>
      <c r="C57" s="119"/>
      <c r="D57" s="119"/>
      <c r="E57" s="119"/>
    </row>
    <row r="58" spans="2:5" ht="15" customHeight="1" x14ac:dyDescent="0.25">
      <c r="B58" s="119"/>
      <c r="C58" s="119"/>
      <c r="D58" s="119"/>
      <c r="E58" s="119"/>
    </row>
    <row r="59" spans="2:5" ht="15" customHeight="1" x14ac:dyDescent="0.25">
      <c r="B59" s="119"/>
      <c r="C59" s="119"/>
      <c r="D59" s="119"/>
      <c r="E59" s="119"/>
    </row>
    <row r="60" spans="2:5" ht="15" customHeight="1" x14ac:dyDescent="0.25">
      <c r="B60" s="119"/>
      <c r="C60" s="119"/>
      <c r="D60" s="119"/>
      <c r="E60" s="119"/>
    </row>
    <row r="61" spans="2:5" ht="15" customHeight="1" x14ac:dyDescent="0.25">
      <c r="B61" s="119"/>
      <c r="C61" s="119"/>
      <c r="D61" s="119"/>
      <c r="E61" s="119"/>
    </row>
    <row r="62" spans="2:5" ht="15" customHeight="1" x14ac:dyDescent="0.25">
      <c r="B62" s="119"/>
      <c r="C62" s="119"/>
      <c r="D62" s="119"/>
      <c r="E62" s="119"/>
    </row>
    <row r="68" spans="2:14" ht="18" customHeight="1" x14ac:dyDescent="0.25">
      <c r="B68" s="110" t="s">
        <v>285</v>
      </c>
      <c r="C68" s="110"/>
      <c r="D68" s="110"/>
      <c r="E68" s="110"/>
      <c r="F68" s="110"/>
      <c r="G68" s="110"/>
      <c r="H68" s="110"/>
      <c r="I68" s="110"/>
      <c r="J68" s="110"/>
      <c r="K68" s="110"/>
      <c r="L68" s="110"/>
      <c r="M68" s="110"/>
      <c r="N68" s="110"/>
    </row>
  </sheetData>
  <sheetProtection sheet="1" formatCells="0" sort="0" autoFilter="0"/>
  <mergeCells count="19">
    <mergeCell ref="B39:N39"/>
    <mergeCell ref="B49:E49"/>
    <mergeCell ref="B57:E62"/>
    <mergeCell ref="B68:N68"/>
    <mergeCell ref="B11:N11"/>
    <mergeCell ref="B13:E13"/>
    <mergeCell ref="G14:N16"/>
    <mergeCell ref="B28:N28"/>
    <mergeCell ref="B38:N38"/>
    <mergeCell ref="D6:N6"/>
    <mergeCell ref="D7:N7"/>
    <mergeCell ref="D8:N8"/>
    <mergeCell ref="D9:N9"/>
    <mergeCell ref="D10:N10"/>
    <mergeCell ref="A1:N1"/>
    <mergeCell ref="A2:G2"/>
    <mergeCell ref="H2:N2"/>
    <mergeCell ref="A3:N3"/>
    <mergeCell ref="B5:E5"/>
  </mergeCells>
  <dataValidations count="2">
    <dataValidation type="decimal" showErrorMessage="1" errorTitle="Revenue Achievement %" error="Enter a percentage between 0% and 300%." sqref="C7:C9" xr:uid="{00000000-0002-0000-0400-000000000000}">
      <formula1>0</formula1>
      <formula2>3</formula2>
    </dataValidation>
    <dataValidation type="whole" showErrorMessage="1" errorTitle="Revenue Benefit Delay" error="Enter a whole number of months between 0 and 12." sqref="C10" xr:uid="{00000000-0002-0000-0400-000001000000}">
      <formula1>0</formula1>
      <formula2>12</formula2>
    </dataValidation>
  </dataValidations>
  <pageMargins left="0.75" right="0.75" top="1" bottom="1" header="0.511811023622047" footer="0.511811023622047"/>
  <pageSetup fitToHeight="0" orientation="landscape" horizontalDpi="300" verticalDpi="300"/>
  <drawing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63"/>
  <sheetViews>
    <sheetView showGridLines="0" zoomScale="90" zoomScaleNormal="90" workbookViewId="0"/>
  </sheetViews>
  <sheetFormatPr defaultColWidth="8.7109375" defaultRowHeight="15" x14ac:dyDescent="0.25"/>
  <cols>
    <col min="1" max="1" width="2.140625" customWidth="1"/>
    <col min="2" max="13" width="9.85546875" customWidth="1"/>
    <col min="14" max="14" width="2.140625" customWidth="1"/>
  </cols>
  <sheetData>
    <row r="1" spans="1:14" ht="15.75" customHeight="1" x14ac:dyDescent="0.25">
      <c r="A1" s="15"/>
      <c r="B1" s="120" t="s">
        <v>0</v>
      </c>
      <c r="C1" s="120"/>
      <c r="D1" s="120"/>
      <c r="E1" s="120"/>
      <c r="F1" s="120"/>
      <c r="G1" s="120"/>
      <c r="H1" s="120"/>
      <c r="I1" s="120"/>
      <c r="J1" s="120"/>
      <c r="K1" s="120"/>
      <c r="L1" s="120"/>
      <c r="M1" s="120"/>
      <c r="N1" s="15"/>
    </row>
    <row r="2" spans="1:14" ht="27.75" customHeight="1" x14ac:dyDescent="0.25">
      <c r="A2" s="15"/>
      <c r="B2" s="101" t="s">
        <v>286</v>
      </c>
      <c r="C2" s="101"/>
      <c r="D2" s="101"/>
      <c r="E2" s="101"/>
      <c r="F2" s="101"/>
      <c r="G2" s="101"/>
      <c r="H2" s="121" t="str">
        <f>IFERROR("Role: "&amp;'HIRE INPUTS'!$C$8&amp;"   ·   Expected start "&amp;TEXT('HIRE INPUTS'!$C$9,"mmmm yyyy"),"")</f>
        <v>Role: Operations Manager   ·   Expected start October 2026</v>
      </c>
      <c r="I2" s="121"/>
      <c r="J2" s="121"/>
      <c r="K2" s="121"/>
      <c r="L2" s="121"/>
      <c r="M2" s="121"/>
      <c r="N2" s="15"/>
    </row>
    <row r="3" spans="1:14" ht="15" customHeight="1" x14ac:dyDescent="0.25">
      <c r="A3" s="15"/>
      <c r="B3" s="122" t="s">
        <v>287</v>
      </c>
      <c r="C3" s="122"/>
      <c r="D3" s="122"/>
      <c r="E3" s="122"/>
      <c r="F3" s="122"/>
      <c r="G3" s="122"/>
      <c r="H3" s="122"/>
      <c r="I3" s="122"/>
      <c r="J3" s="122"/>
      <c r="K3" s="122"/>
      <c r="L3" s="122"/>
      <c r="M3" s="122"/>
      <c r="N3" s="15"/>
    </row>
    <row r="4" spans="1:14" ht="7.5" customHeight="1" x14ac:dyDescent="0.25"/>
    <row r="5" spans="1:14" ht="3.75" customHeight="1" x14ac:dyDescent="0.25">
      <c r="B5" s="87"/>
      <c r="C5" s="88"/>
      <c r="D5" s="88"/>
      <c r="E5" s="89"/>
      <c r="F5" s="87"/>
      <c r="G5" s="88"/>
      <c r="H5" s="88"/>
      <c r="I5" s="89"/>
      <c r="J5" s="90"/>
      <c r="K5" s="91"/>
      <c r="L5" s="91"/>
      <c r="M5" s="92"/>
    </row>
    <row r="6" spans="1:14" ht="15" customHeight="1" x14ac:dyDescent="0.25">
      <c r="B6" s="123" t="s">
        <v>288</v>
      </c>
      <c r="C6" s="123"/>
      <c r="D6" s="123"/>
      <c r="E6" s="123"/>
      <c r="F6" s="123" t="s">
        <v>289</v>
      </c>
      <c r="G6" s="123"/>
      <c r="H6" s="123"/>
      <c r="I6" s="123"/>
      <c r="J6" s="123" t="s">
        <v>290</v>
      </c>
      <c r="K6" s="123"/>
      <c r="L6" s="123"/>
      <c r="M6" s="123"/>
    </row>
    <row r="7" spans="1:14" ht="24.75" customHeight="1" x14ac:dyDescent="0.25">
      <c r="B7" s="124">
        <f>'HIRE INPUTS'!$C$62</f>
        <v>106600</v>
      </c>
      <c r="C7" s="124"/>
      <c r="D7" s="124"/>
      <c r="E7" s="124"/>
      <c r="F7" s="124">
        <f>'HIRE INPUTS'!$C$65</f>
        <v>121100</v>
      </c>
      <c r="G7" s="124"/>
      <c r="H7" s="124"/>
      <c r="I7" s="124"/>
      <c r="J7" s="124">
        <f>'HIRING ANALYSIS'!$C$21</f>
        <v>16151.515151515152</v>
      </c>
      <c r="K7" s="124"/>
      <c r="L7" s="124"/>
      <c r="M7" s="124"/>
    </row>
    <row r="8" spans="1:14" ht="15" customHeight="1" x14ac:dyDescent="0.25">
      <c r="B8" s="125" t="s">
        <v>291</v>
      </c>
      <c r="C8" s="125"/>
      <c r="D8" s="125"/>
      <c r="E8" s="125"/>
      <c r="F8" s="125" t="s">
        <v>292</v>
      </c>
      <c r="G8" s="125"/>
      <c r="H8" s="125"/>
      <c r="I8" s="125"/>
      <c r="J8" s="125" t="s">
        <v>293</v>
      </c>
      <c r="K8" s="125"/>
      <c r="L8" s="125"/>
      <c r="M8" s="125"/>
    </row>
    <row r="9" spans="1:14" ht="6" customHeight="1" x14ac:dyDescent="0.25"/>
    <row r="10" spans="1:14" ht="3.75" customHeight="1" x14ac:dyDescent="0.25">
      <c r="B10" s="90"/>
      <c r="C10" s="91"/>
      <c r="D10" s="91"/>
      <c r="E10" s="92"/>
      <c r="F10" s="87"/>
      <c r="G10" s="88"/>
      <c r="H10" s="88"/>
      <c r="I10" s="89"/>
      <c r="J10" s="90"/>
      <c r="K10" s="91"/>
      <c r="L10" s="91"/>
      <c r="M10" s="92"/>
    </row>
    <row r="11" spans="1:14" ht="15" customHeight="1" x14ac:dyDescent="0.25">
      <c r="B11" s="123" t="s">
        <v>294</v>
      </c>
      <c r="C11" s="123"/>
      <c r="D11" s="123"/>
      <c r="E11" s="123"/>
      <c r="F11" s="123" t="s">
        <v>295</v>
      </c>
      <c r="G11" s="123"/>
      <c r="H11" s="123"/>
      <c r="I11" s="123"/>
      <c r="J11" s="123" t="s">
        <v>296</v>
      </c>
      <c r="K11" s="123"/>
      <c r="L11" s="123"/>
      <c r="M11" s="123"/>
    </row>
    <row r="12" spans="1:14" ht="24.75" customHeight="1" x14ac:dyDescent="0.25">
      <c r="B12" s="124">
        <f>'HIRING ANALYSIS'!$C$27</f>
        <v>22000</v>
      </c>
      <c r="C12" s="124"/>
      <c r="D12" s="124"/>
      <c r="E12" s="124"/>
      <c r="F12" s="124">
        <f>'HIRING ANALYSIS'!$C$31</f>
        <v>3216.6666666666679</v>
      </c>
      <c r="G12" s="124"/>
      <c r="H12" s="124"/>
      <c r="I12" s="124"/>
      <c r="J12" s="124">
        <f>'SCENARIO ANALYSIS'!$D$26</f>
        <v>23191.666666666668</v>
      </c>
      <c r="K12" s="124"/>
      <c r="L12" s="124"/>
      <c r="M12" s="124"/>
    </row>
    <row r="13" spans="1:14" ht="15" customHeight="1" x14ac:dyDescent="0.25">
      <c r="B13" s="125" t="s">
        <v>297</v>
      </c>
      <c r="C13" s="125"/>
      <c r="D13" s="125"/>
      <c r="E13" s="125"/>
      <c r="F13" s="125" t="s">
        <v>298</v>
      </c>
      <c r="G13" s="125"/>
      <c r="H13" s="125"/>
      <c r="I13" s="125"/>
      <c r="J13" s="125" t="s">
        <v>299</v>
      </c>
      <c r="K13" s="125"/>
      <c r="L13" s="125"/>
      <c r="M13" s="125"/>
    </row>
    <row r="14" spans="1:14" ht="9.75" customHeight="1" x14ac:dyDescent="0.25"/>
    <row r="15" spans="1:14" ht="18.75" customHeight="1" x14ac:dyDescent="0.25">
      <c r="B15" s="126" t="s">
        <v>300</v>
      </c>
      <c r="C15" s="126"/>
      <c r="D15" s="126"/>
      <c r="E15" s="126"/>
      <c r="F15" s="126"/>
      <c r="G15" s="126"/>
      <c r="H15" s="126" t="s">
        <v>301</v>
      </c>
      <c r="I15" s="126"/>
      <c r="J15" s="126"/>
      <c r="K15" s="126"/>
      <c r="L15" s="126"/>
      <c r="M15" s="126"/>
    </row>
    <row r="29" spans="2:13" ht="18.75" customHeight="1" x14ac:dyDescent="0.25">
      <c r="B29" s="126" t="s">
        <v>302</v>
      </c>
      <c r="C29" s="126"/>
      <c r="D29" s="126"/>
      <c r="E29" s="126"/>
      <c r="F29" s="126"/>
      <c r="G29" s="126"/>
      <c r="H29" s="126" t="s">
        <v>303</v>
      </c>
      <c r="I29" s="126"/>
      <c r="J29" s="126"/>
      <c r="K29" s="126"/>
      <c r="L29" s="126"/>
      <c r="M29" s="126"/>
    </row>
    <row r="43" spans="2:13" ht="7.5" customHeight="1" x14ac:dyDescent="0.25"/>
    <row r="44" spans="2:13" ht="21" customHeight="1" x14ac:dyDescent="0.25">
      <c r="B44" s="127" t="s">
        <v>304</v>
      </c>
      <c r="C44" s="127"/>
      <c r="D44" s="127"/>
      <c r="E44" s="127"/>
      <c r="F44" s="127"/>
      <c r="G44" s="127"/>
      <c r="H44" s="127"/>
      <c r="I44" s="127"/>
      <c r="J44" s="127"/>
      <c r="K44" s="127"/>
      <c r="L44" s="127"/>
      <c r="M44" s="127"/>
    </row>
    <row r="45" spans="2:13" ht="16.5" customHeight="1" x14ac:dyDescent="0.25">
      <c r="B45" s="128" t="s">
        <v>164</v>
      </c>
      <c r="C45" s="128"/>
      <c r="D45" s="128"/>
      <c r="E45" s="128"/>
      <c r="F45" s="129">
        <f>'HIRING ANALYSIS'!$C$27</f>
        <v>22000</v>
      </c>
      <c r="G45" s="129"/>
      <c r="H45" s="130" t="s">
        <v>305</v>
      </c>
      <c r="I45" s="130"/>
      <c r="J45" s="130"/>
      <c r="K45" s="130"/>
      <c r="L45" s="131">
        <f>'HIRING ANALYSIS'!$C$47</f>
        <v>9.4E-2</v>
      </c>
      <c r="M45" s="131"/>
    </row>
    <row r="46" spans="2:13" ht="16.5" customHeight="1" x14ac:dyDescent="0.25">
      <c r="B46" s="128" t="s">
        <v>306</v>
      </c>
      <c r="C46" s="128"/>
      <c r="D46" s="128"/>
      <c r="E46" s="128"/>
      <c r="F46" s="129">
        <f>'HIRING ANALYSIS'!$C$21</f>
        <v>16151.515151515152</v>
      </c>
      <c r="G46" s="129"/>
      <c r="H46" s="130" t="s">
        <v>307</v>
      </c>
      <c r="I46" s="130"/>
      <c r="J46" s="130"/>
      <c r="K46" s="130"/>
      <c r="L46" s="131">
        <f>'HIRING ANALYSIS'!$D$47</f>
        <v>0.10181405895691613</v>
      </c>
      <c r="M46" s="131"/>
    </row>
    <row r="47" spans="2:13" ht="16.5" customHeight="1" x14ac:dyDescent="0.25">
      <c r="B47" s="128" t="s">
        <v>308</v>
      </c>
      <c r="C47" s="128"/>
      <c r="D47" s="128"/>
      <c r="E47" s="128"/>
      <c r="F47" s="129">
        <f>'HIRING ANALYSIS'!$C$38</f>
        <v>5848.484848484848</v>
      </c>
      <c r="G47" s="129"/>
      <c r="H47" s="130" t="s">
        <v>264</v>
      </c>
      <c r="I47" s="130"/>
      <c r="J47" s="130"/>
      <c r="K47" s="130"/>
      <c r="L47" s="132">
        <f>'SCENARIO ANALYSIS'!$D$26</f>
        <v>23191.666666666668</v>
      </c>
      <c r="M47" s="132"/>
    </row>
    <row r="48" spans="2:13" ht="16.5" customHeight="1" x14ac:dyDescent="0.25">
      <c r="B48" s="128" t="s">
        <v>161</v>
      </c>
      <c r="C48" s="128"/>
      <c r="D48" s="128"/>
      <c r="E48" s="128"/>
      <c r="F48" s="129">
        <f>'BUSINESS INPUTS'!$C$24</f>
        <v>51000</v>
      </c>
      <c r="G48" s="129"/>
      <c r="H48" s="93"/>
      <c r="I48" s="93"/>
      <c r="J48" s="93"/>
      <c r="K48" s="93"/>
      <c r="L48" s="93"/>
      <c r="M48" s="94"/>
    </row>
    <row r="49" spans="2:13" ht="7.5" customHeight="1" x14ac:dyDescent="0.25"/>
    <row r="50" spans="2:13" ht="21" customHeight="1" x14ac:dyDescent="0.25">
      <c r="B50" s="127" t="s">
        <v>309</v>
      </c>
      <c r="C50" s="127"/>
      <c r="D50" s="127"/>
      <c r="E50" s="127"/>
      <c r="F50" s="127"/>
      <c r="G50" s="127"/>
      <c r="H50" s="127"/>
      <c r="I50" s="127"/>
      <c r="J50" s="127"/>
      <c r="K50" s="127"/>
      <c r="L50" s="127"/>
      <c r="M50" s="127"/>
    </row>
    <row r="51" spans="2:13" ht="15.75" customHeight="1" x14ac:dyDescent="0.25">
      <c r="B51" s="95" t="s">
        <v>310</v>
      </c>
      <c r="C51" s="133" t="str">
        <f>IFERROR("The estimated fully loaded recurring cost of this hire is "&amp;TEXT('HIRING ANALYSIS'!$C$9,"$#,##0")&amp;" per year, or "&amp;TEXT('HIRING ANALYSIS'!$C$10,"$#,##0")&amp;" per month.","")</f>
        <v>The estimated fully loaded recurring cost of this hire is $106,600 per year, or $8,883 per month.</v>
      </c>
      <c r="D51" s="133"/>
      <c r="E51" s="133"/>
      <c r="F51" s="133"/>
      <c r="G51" s="133"/>
      <c r="H51" s="133"/>
      <c r="I51" s="133"/>
      <c r="J51" s="133"/>
      <c r="K51" s="133"/>
      <c r="L51" s="133"/>
      <c r="M51" s="133"/>
    </row>
    <row r="52" spans="2:13" ht="15.75" customHeight="1" x14ac:dyDescent="0.25">
      <c r="B52" s="96" t="s">
        <v>310</v>
      </c>
      <c r="C52" s="134" t="str">
        <f>IFERROR("Including one-time hiring and onboarding costs of "&amp;TEXT('HIRING ANALYSIS'!$C$11,"$#,##0")&amp;", the estimated first-year cost is "&amp;TEXT('HIRING ANALYSIS'!$C$12,"$#,##0")&amp;".","")</f>
        <v>Including one-time hiring and onboarding costs of $14,500, the estimated first-year cost is $121,100.</v>
      </c>
      <c r="D52" s="134"/>
      <c r="E52" s="134"/>
      <c r="F52" s="134"/>
      <c r="G52" s="134"/>
      <c r="H52" s="134"/>
      <c r="I52" s="134"/>
      <c r="J52" s="134"/>
      <c r="K52" s="134"/>
      <c r="L52" s="134"/>
      <c r="M52" s="134"/>
    </row>
    <row r="53" spans="2:13" ht="15.75" customHeight="1" x14ac:dyDescent="0.25">
      <c r="B53" s="95" t="s">
        <v>310</v>
      </c>
      <c r="C53" s="133" t="str">
        <f>IFERROR(IF('HIRING ANALYSIS'!$C$18&lt;=0,"Enter monthly revenue and gross profit on the BUSINESS INPUTS tab to calculate the revenue required.","At your gross margin of "&amp;TEXT('HIRING ANALYSIS'!$C$18,"0.0%")&amp;", about "&amp;TEXT('HIRING ANALYSIS'!$C$21,"$#,##0")&amp;" of additional monthly revenue is required to cover the recurring cost."),"")</f>
        <v>At your gross margin of 55.0%, about $16,152 of additional monthly revenue is required to cover the recurring cost.</v>
      </c>
      <c r="D53" s="133"/>
      <c r="E53" s="133"/>
      <c r="F53" s="133"/>
      <c r="G53" s="133"/>
      <c r="H53" s="133"/>
      <c r="I53" s="133"/>
      <c r="J53" s="133"/>
      <c r="K53" s="133"/>
      <c r="L53" s="133"/>
      <c r="M53" s="133"/>
    </row>
    <row r="54" spans="2:13" ht="15.75" customHeight="1" x14ac:dyDescent="0.25">
      <c r="B54" s="96" t="s">
        <v>310</v>
      </c>
      <c r="C54" s="134" t="str">
        <f>IFERROR(IF(ROUND('HIRING ANALYSIS'!$C$38,0)=0,"Expected additional monthly revenue of "&amp;TEXT('HIRING ANALYSIS'!$C$27,"$#,##0")&amp;" is level with the estimated break-even point.","Expected additional monthly revenue of "&amp;TEXT('HIRING ANALYSIS'!$C$27,"$#,##0")&amp;" is "&amp;TEXT(ABS('HIRING ANALYSIS'!$C$38),"$#,##0")&amp;IF('HIRING ANALYSIS'!$C$38&gt;0," above "," below ")&amp;"the estimated break-even level."),"")</f>
        <v>Expected additional monthly revenue of $22,000 is $5,848 above the estimated break-even level.</v>
      </c>
      <c r="D54" s="134"/>
      <c r="E54" s="134"/>
      <c r="F54" s="134"/>
      <c r="G54" s="134"/>
      <c r="H54" s="134"/>
      <c r="I54" s="134"/>
      <c r="J54" s="134"/>
      <c r="K54" s="134"/>
      <c r="L54" s="134"/>
      <c r="M54" s="134"/>
    </row>
    <row r="55" spans="2:13" ht="15.75" customHeight="1" x14ac:dyDescent="0.25">
      <c r="B55" s="95" t="s">
        <v>310</v>
      </c>
      <c r="C55" s="133" t="str">
        <f>IFERROR("The hire is assumed to reach full productivity in Month "&amp;MAX(1,'BUSINESS INPUTS'!$C$29)&amp;", following a straight-line ramp from Month 1.","")</f>
        <v>The hire is assumed to reach full productivity in Month 4, following a straight-line ramp from Month 1.</v>
      </c>
      <c r="D55" s="133"/>
      <c r="E55" s="133"/>
      <c r="F55" s="133"/>
      <c r="G55" s="133"/>
      <c r="H55" s="133"/>
      <c r="I55" s="133"/>
      <c r="J55" s="133"/>
      <c r="K55" s="133"/>
      <c r="L55" s="133"/>
      <c r="M55" s="133"/>
    </row>
    <row r="56" spans="2:13" ht="15.75" customHeight="1" x14ac:dyDescent="0.25">
      <c r="B56" s="96" t="s">
        <v>310</v>
      </c>
      <c r="C56" s="134" t="str">
        <f>IFERROR("Monthly operating profit moves from "&amp;TEXT('HIRING ANALYSIS'!$C$46,"$#,##0")&amp;" to "&amp;TEXT('HIRING ANALYSIS'!$D$46,"$#,##0")&amp;", and operating margin from "&amp;TEXT('HIRING ANALYSIS'!$C$47,"0.0%")&amp;" to "&amp;TEXT('HIRING ANALYSIS'!$D$47,"0.0%")&amp;", at full productivity.","")</f>
        <v>Monthly operating profit moves from $11,750 to $14,967, and operating margin from 9.4% to 10.2%, at full productivity.</v>
      </c>
      <c r="D56" s="134"/>
      <c r="E56" s="134"/>
      <c r="F56" s="134"/>
      <c r="G56" s="134"/>
      <c r="H56" s="134"/>
      <c r="I56" s="134"/>
      <c r="J56" s="134"/>
      <c r="K56" s="134"/>
      <c r="L56" s="134"/>
      <c r="M56" s="134"/>
    </row>
    <row r="57" spans="2:13" ht="15.75" customHeight="1" x14ac:dyDescent="0.25">
      <c r="B57" s="95" t="s">
        <v>310</v>
      </c>
      <c r="C57" s="133" t="str">
        <f>IFERROR(IF('SCENARIO ANALYSIS'!$D$26&lt;=0,"Cumulative contribution is not projected to fall below zero during the first 12 months.","The estimated peak funding requirement during ramp-up is "&amp;TEXT('SCENARIO ANALYSIS'!$D$26,"$#,##0")&amp;", reached in Month "&amp;MATCH(MIN('SCENARIO ANALYSIS'!$C$34:$N$34),'SCENARIO ANALYSIS'!$C$34:$N$34,0)&amp;"."),"")</f>
        <v>The estimated peak funding requirement during ramp-up is $23,192, reached in Month 2.</v>
      </c>
      <c r="D57" s="133"/>
      <c r="E57" s="133"/>
      <c r="F57" s="133"/>
      <c r="G57" s="133"/>
      <c r="H57" s="133"/>
      <c r="I57" s="133"/>
      <c r="J57" s="133"/>
      <c r="K57" s="133"/>
      <c r="L57" s="133"/>
      <c r="M57" s="133"/>
    </row>
    <row r="58" spans="2:13" ht="15.75" customHeight="1" x14ac:dyDescent="0.25">
      <c r="B58" s="96" t="s">
        <v>310</v>
      </c>
      <c r="C58" s="134" t="str">
        <f>IFERROR(IF(MAX('SCENARIO ANALYSIS'!$C$34:$N$34)&lt;=0,"Cumulative contribution is not projected to turn positive within the first 12 months.","Cumulative contribution is projected to turn positive in Month "&amp;COUNTIF('SCENARIO ANALYSIS'!$C$34:$N$34,"&lt;=0")+1&amp;"."),"")</f>
        <v>Cumulative contribution is projected to turn positive in Month 11.</v>
      </c>
      <c r="D58" s="134"/>
      <c r="E58" s="134"/>
      <c r="F58" s="134"/>
      <c r="G58" s="134"/>
      <c r="H58" s="134"/>
      <c r="I58" s="134"/>
      <c r="J58" s="134"/>
      <c r="K58" s="134"/>
      <c r="L58" s="134"/>
      <c r="M58" s="134"/>
    </row>
    <row r="59" spans="2:13" ht="15.75" customHeight="1" x14ac:dyDescent="0.25">
      <c r="B59" s="95" t="s">
        <v>310</v>
      </c>
      <c r="C59" s="133" t="str">
        <f>IFERROR("Downside scenario ("&amp;TEXT('SCENARIO ANALYSIS'!$C$15,"0%")&amp;"): 12-month cumulative contribution of "&amp;TEXT('SCENARIO ANALYSIS'!$C$25,"$#,##0")&amp;".   Upside ("&amp;TEXT('SCENARIO ANALYSIS'!$E$15,"0%")&amp;"): "&amp;TEXT('SCENARIO ANALYSIS'!$E$25,"$#,##0")&amp;".","")</f>
        <v>Downside scenario (70%): 12-month cumulative contribution of -$32,165.   Upside (120%): $31,360.</v>
      </c>
      <c r="D59" s="133"/>
      <c r="E59" s="133"/>
      <c r="F59" s="133"/>
      <c r="G59" s="133"/>
      <c r="H59" s="133"/>
      <c r="I59" s="133"/>
      <c r="J59" s="133"/>
      <c r="K59" s="133"/>
      <c r="L59" s="133"/>
      <c r="M59" s="133"/>
    </row>
    <row r="60" spans="2:13" ht="15.75" customHeight="1" x14ac:dyDescent="0.25">
      <c r="B60" s="97" t="s">
        <v>310</v>
      </c>
      <c r="C60" s="135" t="str">
        <f>IFERROR(IF('SCENARIO ANALYSIS'!$C$10=0,"No revenue benefit delay is currently modelled on the SCENARIO ANALYSIS tab.","Delaying the expected revenue benefit by "&amp;'SCENARIO ANALYSIS'!$C$10&amp;IF('SCENARIO ANALYSIS'!$C$10=1," month"," months")&amp;" changes the peak funding requirement to "&amp;TEXT('SCENARIO ANALYSIS'!$D$47,"$#,##0")&amp;"."),"")</f>
        <v>Delaying the expected revenue benefit by 3 months changes the peak funding requirement to $49,842.</v>
      </c>
      <c r="D60" s="135"/>
      <c r="E60" s="135"/>
      <c r="F60" s="135"/>
      <c r="G60" s="135"/>
      <c r="H60" s="135"/>
      <c r="I60" s="135"/>
      <c r="J60" s="135"/>
      <c r="K60" s="135"/>
      <c r="L60" s="135"/>
      <c r="M60" s="135"/>
    </row>
    <row r="62" spans="2:13" ht="33.75" customHeight="1" x14ac:dyDescent="0.25">
      <c r="B62" s="136" t="s">
        <v>311</v>
      </c>
      <c r="C62" s="136"/>
      <c r="D62" s="136"/>
      <c r="E62" s="136"/>
      <c r="F62" s="136"/>
      <c r="G62" s="136"/>
      <c r="H62" s="136"/>
      <c r="I62" s="136"/>
      <c r="J62" s="136"/>
      <c r="K62" s="136"/>
      <c r="L62" s="136"/>
      <c r="M62" s="136"/>
    </row>
    <row r="63" spans="2:13" ht="19.5" customHeight="1" x14ac:dyDescent="0.25">
      <c r="B63" s="137" t="s">
        <v>312</v>
      </c>
      <c r="C63" s="137"/>
      <c r="D63" s="137"/>
      <c r="E63" s="137"/>
      <c r="F63" s="137"/>
      <c r="G63" s="137"/>
      <c r="H63" s="137"/>
      <c r="I63" s="137"/>
      <c r="J63" s="137"/>
      <c r="K63" s="137"/>
      <c r="L63" s="137"/>
      <c r="M63" s="137"/>
    </row>
  </sheetData>
  <sheetProtection sheet="1" formatCells="0" sort="0" autoFilter="0"/>
  <mergeCells count="54">
    <mergeCell ref="C58:M58"/>
    <mergeCell ref="C59:M59"/>
    <mergeCell ref="C60:M60"/>
    <mergeCell ref="B62:M62"/>
    <mergeCell ref="B63:M63"/>
    <mergeCell ref="C53:M53"/>
    <mergeCell ref="C54:M54"/>
    <mergeCell ref="C55:M55"/>
    <mergeCell ref="C56:M56"/>
    <mergeCell ref="C57:M57"/>
    <mergeCell ref="B48:E48"/>
    <mergeCell ref="F48:G48"/>
    <mergeCell ref="B50:M50"/>
    <mergeCell ref="C51:M51"/>
    <mergeCell ref="C52:M52"/>
    <mergeCell ref="B46:E46"/>
    <mergeCell ref="F46:G46"/>
    <mergeCell ref="H46:K46"/>
    <mergeCell ref="L46:M46"/>
    <mergeCell ref="B47:E47"/>
    <mergeCell ref="F47:G47"/>
    <mergeCell ref="H47:K47"/>
    <mergeCell ref="L47:M47"/>
    <mergeCell ref="B29:G29"/>
    <mergeCell ref="H29:M29"/>
    <mergeCell ref="B44:M44"/>
    <mergeCell ref="B45:E45"/>
    <mergeCell ref="F45:G45"/>
    <mergeCell ref="H45:K45"/>
    <mergeCell ref="L45:M45"/>
    <mergeCell ref="B13:E13"/>
    <mergeCell ref="F13:I13"/>
    <mergeCell ref="J13:M13"/>
    <mergeCell ref="B15:G15"/>
    <mergeCell ref="H15:M15"/>
    <mergeCell ref="B11:E11"/>
    <mergeCell ref="F11:I11"/>
    <mergeCell ref="J11:M11"/>
    <mergeCell ref="B12:E12"/>
    <mergeCell ref="F12:I12"/>
    <mergeCell ref="J12:M12"/>
    <mergeCell ref="B7:E7"/>
    <mergeCell ref="F7:I7"/>
    <mergeCell ref="J7:M7"/>
    <mergeCell ref="B8:E8"/>
    <mergeCell ref="F8:I8"/>
    <mergeCell ref="J8:M8"/>
    <mergeCell ref="B1:M1"/>
    <mergeCell ref="B2:G2"/>
    <mergeCell ref="H2:M2"/>
    <mergeCell ref="B3:M3"/>
    <mergeCell ref="B6:E6"/>
    <mergeCell ref="F6:I6"/>
    <mergeCell ref="J6:M6"/>
  </mergeCells>
  <pageMargins left="0.3" right="0.3" top="0.35" bottom="0.35" header="0.511811023622047" footer="0.511811023622047"/>
  <pageSetup orientation="landscape" horizontalDpi="300" verticalDpi="300"/>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START HERE</vt:lpstr>
      <vt:lpstr>HIRE INPUTS</vt:lpstr>
      <vt:lpstr>BUSINESS INPUTS</vt:lpstr>
      <vt:lpstr>HIRING ANALYSIS</vt:lpstr>
      <vt:lpstr>SCENARIO ANALYSIS</vt:lpstr>
      <vt:lpstr>EXECUTIVE DASHBOARD</vt:lpstr>
      <vt:lpstr>'BUSINESS INPUTS'!Print_Area</vt:lpstr>
      <vt:lpstr>'EXECUTIVE DASHBOARD'!Print_Area</vt:lpstr>
      <vt:lpstr>'HIRE INPUTS'!Print_Area</vt:lpstr>
      <vt:lpstr>'HIRING ANALYSIS'!Print_Area</vt:lpstr>
      <vt:lpstr>'SCENARIO ANALYSIS'!Print_Area</vt:lpstr>
      <vt:lpstr>'START HERE'!Print_Area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Can I Afford to Hire? Calculator</dc:title>
  <dc:subject>Hiring decision support for owner-led businesses</dc:subject>
  <dc:creator>Vertex Strategic Finance</dc:creator>
  <dc:description>Free tool from Vertex Strategic Finance. All sample data is fictional and provided for illustration and planning purposes only.</dc:description>
  <cp:lastModifiedBy>Senthuran Selvanathan</cp:lastModifiedBy>
  <cp:revision>1</cp:revision>
  <dcterms:created xsi:type="dcterms:W3CDTF">2026-08-28T21:21:09Z</dcterms:created>
  <dcterms:modified xsi:type="dcterms:W3CDTF">2026-08-28T21:28:38Z</dcterms:modified>
  <dc:language>en-US</dc:language>
</cp:coreProperties>
</file>