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c3d67ec76a37ead1/Desktop/Vertex Strategic Finance/Resources - Lead Magnets/"/>
    </mc:Choice>
  </mc:AlternateContent>
  <xr:revisionPtr revIDLastSave="1" documentId="11_D6B147953147477A71C8E2FF064ED0A9D1D11D3F" xr6:coauthVersionLast="47" xr6:coauthVersionMax="47" xr10:uidLastSave="{5A2DDF0F-F2EF-49DA-B705-67C935994818}"/>
  <bookViews>
    <workbookView xWindow="31080" yWindow="-1545" windowWidth="38700" windowHeight="17625" tabRatio="594" xr2:uid="{00000000-000D-0000-FFFF-FFFF00000000}"/>
  </bookViews>
  <sheets>
    <sheet name="Welcome" sheetId="1" r:id="rId1"/>
    <sheet name="Monthly Inputs" sheetId="2" r:id="rId2"/>
    <sheet name="KPI Dashboard" sheetId="3" r:id="rId3"/>
    <sheet name="KPI Definitions" sheetId="4" r:id="rId4"/>
    <sheet name="Monthly Performance Summary" sheetId="5" r:id="rId5"/>
    <sheet name="KPI Targets" sheetId="6" r:id="rId6"/>
    <sheet name="KPI Data" sheetId="7" r:id="rId7"/>
    <sheet name="Need Help" sheetId="8" r:id="rId8"/>
  </sheets>
  <definedNames>
    <definedName name="DaysInMonth">'KPI Targets'!$C$7</definedName>
    <definedName name="_xlnm.Print_Area" localSheetId="2">'KPI Dashboard'!$A$1:$T$79</definedName>
    <definedName name="_xlnm.Print_Area" localSheetId="6">'KPI Data'!$A$1:$V$39</definedName>
    <definedName name="_xlnm.Print_Area" localSheetId="3">'KPI Definitions'!$A$1:$G$32</definedName>
    <definedName name="_xlnm.Print_Area" localSheetId="5">'KPI Targets'!$A$1:$H$38</definedName>
    <definedName name="_xlnm.Print_Area" localSheetId="1">'Monthly Inputs'!$A$1:$M$41</definedName>
    <definedName name="_xlnm.Print_Area" localSheetId="4">'Monthly Performance Summary'!$A$1:$J$26</definedName>
    <definedName name="_xlnm.Print_Area" localSheetId="7">'Need Help'!$A$1:$C$24</definedName>
    <definedName name="_xlnm.Print_Area" localSheetId="0">Welcome!$A$1:$C$30</definedName>
    <definedName name="_xlnm.Print_Titles" localSheetId="6">'KPI Data'!$7:$7</definedName>
    <definedName name="_xlnm.Print_Titles" localSheetId="3">'KPI Definitions'!$6:$6</definedName>
    <definedName name="_xlnm.Print_Titles" localSheetId="5">'KPI Targets'!$10:$10</definedName>
    <definedName name="_xlnm.Print_Titles" localSheetId="1">'Monthly Inputs'!$7:$7</definedName>
    <definedName name="ReportingMonth">'KPI Data'!$B$4</definedName>
    <definedName name="Tolerance">'KPI Targets'!$C$8</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R37" i="7" l="1"/>
  <c r="Q37" i="7"/>
  <c r="M37" i="7"/>
  <c r="L37" i="7"/>
  <c r="K37" i="7"/>
  <c r="J37" i="7"/>
  <c r="I37" i="7"/>
  <c r="H37" i="7"/>
  <c r="G37" i="7"/>
  <c r="F37" i="7"/>
  <c r="E37" i="7"/>
  <c r="D37" i="7"/>
  <c r="C37" i="7"/>
  <c r="B37" i="7"/>
  <c r="P37" i="7" s="1"/>
  <c r="R36" i="7"/>
  <c r="L41" i="3" s="1"/>
  <c r="Q36" i="7"/>
  <c r="M36" i="7"/>
  <c r="L36" i="7"/>
  <c r="K36" i="7"/>
  <c r="J36" i="7"/>
  <c r="I36" i="7"/>
  <c r="H36" i="7"/>
  <c r="G36" i="7"/>
  <c r="F36" i="7"/>
  <c r="E36" i="7"/>
  <c r="D36" i="7"/>
  <c r="C36" i="7"/>
  <c r="B36" i="7"/>
  <c r="P36" i="7" s="1"/>
  <c r="R35" i="7"/>
  <c r="L40" i="3" s="1"/>
  <c r="Q35" i="7"/>
  <c r="M35" i="7"/>
  <c r="L35" i="7"/>
  <c r="K35" i="7"/>
  <c r="J35" i="7"/>
  <c r="I35" i="7"/>
  <c r="H35" i="7"/>
  <c r="G35" i="7"/>
  <c r="F35" i="7"/>
  <c r="E35" i="7"/>
  <c r="D35" i="7"/>
  <c r="C35" i="7"/>
  <c r="B35" i="7"/>
  <c r="P35" i="7" s="1"/>
  <c r="R32" i="7"/>
  <c r="L37" i="3" s="1"/>
  <c r="Q32" i="7"/>
  <c r="M32" i="7"/>
  <c r="L32" i="7"/>
  <c r="K32" i="7"/>
  <c r="J32" i="7"/>
  <c r="I32" i="7"/>
  <c r="H32" i="7"/>
  <c r="G32" i="7"/>
  <c r="F32" i="7"/>
  <c r="E32" i="7"/>
  <c r="P32" i="7" s="1"/>
  <c r="D32" i="7"/>
  <c r="C32" i="7"/>
  <c r="B32" i="7"/>
  <c r="R31" i="7"/>
  <c r="L36" i="3" s="1"/>
  <c r="Q31" i="7"/>
  <c r="M31" i="7"/>
  <c r="L31" i="7"/>
  <c r="K31" i="7"/>
  <c r="J31" i="7"/>
  <c r="I31" i="7"/>
  <c r="H31" i="7"/>
  <c r="G31" i="7"/>
  <c r="F31" i="7"/>
  <c r="E31" i="7"/>
  <c r="D31" i="7"/>
  <c r="C31" i="7"/>
  <c r="P31" i="7" s="1"/>
  <c r="R28" i="7"/>
  <c r="L33" i="3" s="1"/>
  <c r="Q28" i="7"/>
  <c r="M28" i="7"/>
  <c r="L28" i="7"/>
  <c r="K28" i="7"/>
  <c r="J28" i="7"/>
  <c r="I28" i="7"/>
  <c r="H28" i="7"/>
  <c r="G28" i="7"/>
  <c r="F28" i="7"/>
  <c r="E28" i="7"/>
  <c r="D28" i="7"/>
  <c r="C28" i="7"/>
  <c r="B28" i="7"/>
  <c r="P28" i="7" s="1"/>
  <c r="R27" i="7"/>
  <c r="L32" i="3" s="1"/>
  <c r="Q27" i="7"/>
  <c r="M27" i="7"/>
  <c r="L27" i="7"/>
  <c r="K27" i="7"/>
  <c r="J27" i="7"/>
  <c r="I27" i="7"/>
  <c r="H27" i="7"/>
  <c r="G27" i="7"/>
  <c r="F27" i="7"/>
  <c r="E27" i="7"/>
  <c r="D27" i="7"/>
  <c r="C27" i="7"/>
  <c r="B27" i="7"/>
  <c r="P27" i="7" s="1"/>
  <c r="R26" i="7"/>
  <c r="L31" i="3" s="1"/>
  <c r="Q26" i="7"/>
  <c r="M26" i="7"/>
  <c r="L26" i="7"/>
  <c r="K26" i="7"/>
  <c r="J26" i="7"/>
  <c r="I26" i="7"/>
  <c r="H26" i="7"/>
  <c r="G26" i="7"/>
  <c r="F26" i="7"/>
  <c r="P26" i="7" s="1"/>
  <c r="E26" i="7"/>
  <c r="D26" i="7"/>
  <c r="C26" i="7"/>
  <c r="B26" i="7"/>
  <c r="R25" i="7"/>
  <c r="L30" i="3" s="1"/>
  <c r="Q25" i="7"/>
  <c r="M25" i="7"/>
  <c r="L25" i="7"/>
  <c r="K25" i="7"/>
  <c r="J25" i="7"/>
  <c r="I25" i="7"/>
  <c r="H25" i="7"/>
  <c r="G25" i="7"/>
  <c r="F25" i="7"/>
  <c r="E25" i="7"/>
  <c r="D25" i="7"/>
  <c r="C25" i="7"/>
  <c r="B25" i="7"/>
  <c r="P25" i="7" s="1"/>
  <c r="R24" i="7"/>
  <c r="L29" i="3" s="1"/>
  <c r="Q24" i="7"/>
  <c r="M24" i="7"/>
  <c r="L24" i="7"/>
  <c r="K24" i="7"/>
  <c r="J24" i="7"/>
  <c r="I24" i="7"/>
  <c r="H24" i="7"/>
  <c r="G24" i="7"/>
  <c r="F24" i="7"/>
  <c r="E24" i="7"/>
  <c r="D24" i="7"/>
  <c r="C24" i="7"/>
  <c r="B24" i="7"/>
  <c r="P24" i="7" s="1"/>
  <c r="R21" i="7"/>
  <c r="L26" i="3" s="1"/>
  <c r="Q21" i="7"/>
  <c r="M21" i="7"/>
  <c r="L21" i="7"/>
  <c r="K21" i="7"/>
  <c r="J21" i="7"/>
  <c r="I21" i="7"/>
  <c r="H21" i="7"/>
  <c r="G21" i="7"/>
  <c r="F21" i="7"/>
  <c r="E21" i="7"/>
  <c r="D21" i="7"/>
  <c r="C21" i="7"/>
  <c r="B21" i="7"/>
  <c r="P21" i="7" s="1"/>
  <c r="R20" i="7"/>
  <c r="L25" i="3" s="1"/>
  <c r="Q20" i="7"/>
  <c r="M20" i="7"/>
  <c r="L20" i="7"/>
  <c r="K20" i="7"/>
  <c r="J20" i="7"/>
  <c r="I20" i="7"/>
  <c r="P20" i="7" s="1"/>
  <c r="H20" i="7"/>
  <c r="G20" i="7"/>
  <c r="F20" i="7"/>
  <c r="E20" i="7"/>
  <c r="D20" i="7"/>
  <c r="C20" i="7"/>
  <c r="B20" i="7"/>
  <c r="R19" i="7"/>
  <c r="L24" i="3" s="1"/>
  <c r="Q19" i="7"/>
  <c r="M19" i="7"/>
  <c r="L19" i="7"/>
  <c r="K19" i="7"/>
  <c r="J19" i="7"/>
  <c r="I19" i="7"/>
  <c r="H19" i="7"/>
  <c r="G19" i="7"/>
  <c r="F19" i="7"/>
  <c r="E19" i="7"/>
  <c r="D19" i="7"/>
  <c r="C19" i="7"/>
  <c r="B19" i="7"/>
  <c r="P19" i="7" s="1"/>
  <c r="R18" i="7"/>
  <c r="L23" i="3" s="1"/>
  <c r="Q18" i="7"/>
  <c r="M18" i="7"/>
  <c r="L18" i="7"/>
  <c r="K18" i="7"/>
  <c r="J18" i="7"/>
  <c r="I18" i="7"/>
  <c r="H18" i="7"/>
  <c r="G18" i="7"/>
  <c r="F18" i="7"/>
  <c r="E18" i="7"/>
  <c r="D18" i="7"/>
  <c r="C18" i="7"/>
  <c r="B18" i="7"/>
  <c r="P18" i="7" s="1"/>
  <c r="R17" i="7"/>
  <c r="L22" i="3" s="1"/>
  <c r="Q17" i="7"/>
  <c r="M17" i="7"/>
  <c r="L17" i="7"/>
  <c r="K17" i="7"/>
  <c r="J17" i="7"/>
  <c r="I17" i="7"/>
  <c r="H17" i="7"/>
  <c r="G17" i="7"/>
  <c r="F17" i="7"/>
  <c r="E17" i="7"/>
  <c r="D17" i="7"/>
  <c r="C17" i="7"/>
  <c r="B17" i="7"/>
  <c r="P17" i="7" s="1"/>
  <c r="R16" i="7"/>
  <c r="L21" i="3" s="1"/>
  <c r="Q16" i="7"/>
  <c r="M16" i="7"/>
  <c r="L16" i="7"/>
  <c r="K16" i="7"/>
  <c r="P16" i="7" s="1"/>
  <c r="J16" i="7"/>
  <c r="I16" i="7"/>
  <c r="H16" i="7"/>
  <c r="G16" i="7"/>
  <c r="F16" i="7"/>
  <c r="E16" i="7"/>
  <c r="D16" i="7"/>
  <c r="C16" i="7"/>
  <c r="B16" i="7"/>
  <c r="R13" i="7"/>
  <c r="L18" i="3" s="1"/>
  <c r="Q13" i="7"/>
  <c r="R12" i="7"/>
  <c r="L17" i="3" s="1"/>
  <c r="Q12" i="7"/>
  <c r="M12" i="7"/>
  <c r="L12" i="7"/>
  <c r="K12" i="7"/>
  <c r="J12" i="7"/>
  <c r="I12" i="7"/>
  <c r="H12" i="7"/>
  <c r="G12" i="7"/>
  <c r="F12" i="7"/>
  <c r="E12" i="7"/>
  <c r="D12" i="7"/>
  <c r="C12" i="7"/>
  <c r="B12" i="7"/>
  <c r="P12" i="7" s="1"/>
  <c r="R11" i="7"/>
  <c r="L16" i="3" s="1"/>
  <c r="Q11" i="7"/>
  <c r="M11" i="7"/>
  <c r="L11" i="7"/>
  <c r="K11" i="7"/>
  <c r="J11" i="7"/>
  <c r="I11" i="7"/>
  <c r="H11" i="7"/>
  <c r="G11" i="7"/>
  <c r="F11" i="7"/>
  <c r="E11" i="7"/>
  <c r="D11" i="7"/>
  <c r="C11" i="7"/>
  <c r="B11" i="7"/>
  <c r="P11" i="7" s="1"/>
  <c r="R10" i="7"/>
  <c r="L15" i="3" s="1"/>
  <c r="Q10" i="7"/>
  <c r="M10" i="7"/>
  <c r="P10" i="7" s="1"/>
  <c r="L10" i="7"/>
  <c r="K10" i="7"/>
  <c r="J10" i="7"/>
  <c r="I10" i="7"/>
  <c r="H10" i="7"/>
  <c r="G10" i="7"/>
  <c r="F10" i="7"/>
  <c r="E10" i="7"/>
  <c r="D10" i="7"/>
  <c r="C10" i="7"/>
  <c r="B10" i="7"/>
  <c r="R9" i="7"/>
  <c r="L14" i="3" s="1"/>
  <c r="Q9" i="7"/>
  <c r="M9" i="7"/>
  <c r="L9" i="7"/>
  <c r="M13" i="7" s="1"/>
  <c r="K9" i="7"/>
  <c r="L13" i="7" s="1"/>
  <c r="J9" i="7"/>
  <c r="K13" i="7" s="1"/>
  <c r="I9" i="7"/>
  <c r="J13" i="7" s="1"/>
  <c r="H9" i="7"/>
  <c r="I13" i="7" s="1"/>
  <c r="G9" i="7"/>
  <c r="H13" i="7" s="1"/>
  <c r="F9" i="7"/>
  <c r="G13" i="7" s="1"/>
  <c r="E9" i="7"/>
  <c r="F13" i="7" s="1"/>
  <c r="D9" i="7"/>
  <c r="E13" i="7" s="1"/>
  <c r="C9" i="7"/>
  <c r="D13" i="7" s="1"/>
  <c r="B9" i="7"/>
  <c r="AK6" i="7"/>
  <c r="AJ6" i="7"/>
  <c r="AI6" i="7"/>
  <c r="AH6" i="7"/>
  <c r="AG6" i="7"/>
  <c r="AF6" i="7"/>
  <c r="AE6" i="7"/>
  <c r="AD6" i="7"/>
  <c r="AC6" i="7"/>
  <c r="AB6" i="7"/>
  <c r="AA6" i="7"/>
  <c r="Z6" i="7"/>
  <c r="AK5" i="7"/>
  <c r="AJ5" i="7"/>
  <c r="AI5" i="7"/>
  <c r="AH5" i="7"/>
  <c r="AG5" i="7"/>
  <c r="AF5" i="7"/>
  <c r="AE5" i="7"/>
  <c r="AD5" i="7"/>
  <c r="AC5" i="7"/>
  <c r="AB5" i="7"/>
  <c r="AA5" i="7"/>
  <c r="Z5" i="7"/>
  <c r="AK4" i="7"/>
  <c r="AJ4" i="7"/>
  <c r="AI4" i="7"/>
  <c r="AH4" i="7"/>
  <c r="AG4" i="7"/>
  <c r="AF4" i="7"/>
  <c r="AE4" i="7"/>
  <c r="AD4" i="7"/>
  <c r="AC4" i="7"/>
  <c r="AB4" i="7"/>
  <c r="AA4" i="7"/>
  <c r="Z4" i="7"/>
  <c r="B4" i="7"/>
  <c r="L42" i="3"/>
  <c r="M35" i="2"/>
  <c r="L35" i="2"/>
  <c r="K35" i="2"/>
  <c r="J35" i="2"/>
  <c r="I35" i="2"/>
  <c r="H35" i="2"/>
  <c r="G35" i="2"/>
  <c r="F35" i="2"/>
  <c r="E35" i="2"/>
  <c r="D35" i="2"/>
  <c r="C35" i="2"/>
  <c r="M24" i="2"/>
  <c r="L24" i="2"/>
  <c r="K24" i="2"/>
  <c r="J24" i="2"/>
  <c r="I24" i="2"/>
  <c r="H24" i="2"/>
  <c r="G24" i="2"/>
  <c r="F24" i="2"/>
  <c r="E24" i="2"/>
  <c r="D24" i="2"/>
  <c r="C24" i="2"/>
  <c r="B24" i="2"/>
  <c r="M9" i="2"/>
  <c r="L9" i="2"/>
  <c r="K9" i="2"/>
  <c r="J9" i="2"/>
  <c r="I9" i="2"/>
  <c r="H9" i="2"/>
  <c r="G9" i="2"/>
  <c r="F9" i="2"/>
  <c r="E9" i="2"/>
  <c r="D9" i="2"/>
  <c r="C9" i="2"/>
  <c r="B9" i="2"/>
  <c r="V37" i="7" l="1"/>
  <c r="J42" i="3"/>
  <c r="V36" i="7"/>
  <c r="J41" i="3"/>
  <c r="J40" i="3"/>
  <c r="V35" i="7"/>
  <c r="V32" i="7"/>
  <c r="J37" i="3"/>
  <c r="J36" i="3"/>
  <c r="V31" i="7"/>
  <c r="J33" i="3"/>
  <c r="V28" i="7"/>
  <c r="V27" i="7"/>
  <c r="J32" i="3"/>
  <c r="J31" i="3"/>
  <c r="V26" i="7"/>
  <c r="V25" i="7"/>
  <c r="J30" i="3"/>
  <c r="J29" i="3"/>
  <c r="V24" i="7"/>
  <c r="V21" i="7"/>
  <c r="J26" i="3"/>
  <c r="V20" i="7"/>
  <c r="J25" i="3"/>
  <c r="V19" i="7"/>
  <c r="J24" i="3"/>
  <c r="J23" i="3"/>
  <c r="V18" i="7"/>
  <c r="V17" i="7"/>
  <c r="J22" i="3"/>
  <c r="J21" i="3"/>
  <c r="V16" i="7"/>
  <c r="V13" i="7"/>
  <c r="J18" i="3"/>
  <c r="J17" i="3"/>
  <c r="V12" i="7"/>
  <c r="V11" i="7"/>
  <c r="J16" i="3"/>
  <c r="V10" i="7"/>
  <c r="J15" i="3"/>
  <c r="V9" i="7"/>
  <c r="J14" i="3"/>
  <c r="P9" i="7"/>
  <c r="C13" i="7"/>
  <c r="P13" i="7" s="1"/>
  <c r="N28" i="7"/>
  <c r="Y26" i="7"/>
  <c r="O26" i="7"/>
  <c r="N26" i="7"/>
  <c r="Y20" i="7"/>
  <c r="Y12" i="7"/>
  <c r="O12" i="7"/>
  <c r="N12" i="7"/>
  <c r="Y11" i="7"/>
  <c r="O11" i="7"/>
  <c r="N11" i="7"/>
  <c r="N10" i="7"/>
  <c r="Y9" i="7"/>
  <c r="N13" i="7"/>
  <c r="O13" i="7"/>
  <c r="N31" i="7"/>
  <c r="O10" i="7"/>
  <c r="O35" i="7"/>
  <c r="Y10" i="7"/>
  <c r="N17" i="7"/>
  <c r="O17" i="7"/>
  <c r="Y17" i="7"/>
  <c r="N18" i="7"/>
  <c r="O18" i="7"/>
  <c r="Y18" i="7"/>
  <c r="N19" i="7"/>
  <c r="O19" i="7"/>
  <c r="Y19" i="7"/>
  <c r="O20" i="7"/>
  <c r="O37" i="7"/>
  <c r="N37" i="7"/>
  <c r="Y36" i="7"/>
  <c r="N24" i="7"/>
  <c r="Y35" i="7"/>
  <c r="O24" i="7"/>
  <c r="Y24" i="7"/>
  <c r="N25" i="7"/>
  <c r="O25" i="7"/>
  <c r="Y25" i="7"/>
  <c r="N35" i="7"/>
  <c r="O16" i="7"/>
  <c r="C4" i="7"/>
  <c r="O9" i="7"/>
  <c r="O32" i="7"/>
  <c r="Y37" i="7"/>
  <c r="N32" i="7"/>
  <c r="Y27" i="7"/>
  <c r="O21" i="7"/>
  <c r="N21" i="7"/>
  <c r="Y16" i="7"/>
  <c r="N16" i="7"/>
  <c r="Y13" i="7"/>
  <c r="Y31" i="7"/>
  <c r="O31" i="7"/>
  <c r="Y28" i="7"/>
  <c r="O28" i="7"/>
  <c r="N20" i="7"/>
  <c r="O36" i="7"/>
  <c r="N36" i="7"/>
  <c r="Y32" i="7"/>
  <c r="O27" i="7"/>
  <c r="N27" i="7"/>
  <c r="Y21" i="7"/>
  <c r="N9" i="7"/>
  <c r="S28" i="7" l="1"/>
  <c r="R33" i="3" s="1"/>
  <c r="U28" i="7"/>
  <c r="Q7" i="3"/>
  <c r="Q8" i="3"/>
  <c r="H33" i="3"/>
  <c r="Q33" i="3"/>
  <c r="U26" i="7"/>
  <c r="S26" i="7"/>
  <c r="R31" i="3" s="1"/>
  <c r="H31" i="3"/>
  <c r="Q31" i="3"/>
  <c r="S12" i="7"/>
  <c r="R17" i="3" s="1"/>
  <c r="U12" i="7"/>
  <c r="H17" i="3"/>
  <c r="Q17" i="3"/>
  <c r="S11" i="7"/>
  <c r="R16" i="3" s="1"/>
  <c r="U11" i="7"/>
  <c r="H7" i="3"/>
  <c r="H8" i="3"/>
  <c r="H16" i="3"/>
  <c r="Q16" i="3"/>
  <c r="S10" i="7"/>
  <c r="R15" i="3" s="1"/>
  <c r="U10" i="7"/>
  <c r="E7" i="3"/>
  <c r="E8" i="3"/>
  <c r="H15" i="3"/>
  <c r="Q15" i="3"/>
  <c r="S13" i="7"/>
  <c r="R18" i="3" s="1"/>
  <c r="U13" i="7"/>
  <c r="H18" i="3"/>
  <c r="Q18" i="3"/>
  <c r="S31" i="7"/>
  <c r="R36" i="3" s="1"/>
  <c r="U31" i="7"/>
  <c r="H36" i="3"/>
  <c r="Q36" i="3"/>
  <c r="S17" i="7"/>
  <c r="R22" i="3" s="1"/>
  <c r="U17" i="7"/>
  <c r="N7" i="3"/>
  <c r="N8" i="3"/>
  <c r="H22" i="3"/>
  <c r="Q22" i="3"/>
  <c r="S18" i="7"/>
  <c r="R23" i="3" s="1"/>
  <c r="U18" i="7"/>
  <c r="H23" i="3"/>
  <c r="Q23" i="3"/>
  <c r="S19" i="7"/>
  <c r="R24" i="3" s="1"/>
  <c r="U19" i="7"/>
  <c r="H24" i="3"/>
  <c r="Q24" i="3"/>
  <c r="H42" i="3"/>
  <c r="Q42" i="3"/>
  <c r="S37" i="7"/>
  <c r="R42" i="3" s="1"/>
  <c r="U37" i="7"/>
  <c r="S24" i="7"/>
  <c r="R29" i="3" s="1"/>
  <c r="U24" i="7"/>
  <c r="H29" i="3"/>
  <c r="Q29" i="3"/>
  <c r="S25" i="7"/>
  <c r="R30" i="3" s="1"/>
  <c r="U25" i="7"/>
  <c r="H30" i="3"/>
  <c r="Q30" i="3"/>
  <c r="S35" i="7"/>
  <c r="R40" i="3" s="1"/>
  <c r="U35" i="7"/>
  <c r="H40" i="3"/>
  <c r="Q40" i="3"/>
  <c r="B4" i="5"/>
  <c r="B4" i="3"/>
  <c r="U32" i="7"/>
  <c r="S32" i="7"/>
  <c r="R37" i="3" s="1"/>
  <c r="H37" i="3"/>
  <c r="Q37" i="3"/>
  <c r="S21" i="7"/>
  <c r="R26" i="3" s="1"/>
  <c r="U21" i="7"/>
  <c r="H26" i="3"/>
  <c r="Q26" i="3"/>
  <c r="K7" i="3"/>
  <c r="K8" i="3"/>
  <c r="H21" i="3"/>
  <c r="Q21" i="3"/>
  <c r="S16" i="7"/>
  <c r="R21" i="3" s="1"/>
  <c r="U16" i="7"/>
  <c r="S20" i="7"/>
  <c r="R25" i="3" s="1"/>
  <c r="U20" i="7"/>
  <c r="H25" i="3"/>
  <c r="Q25" i="3"/>
  <c r="S36" i="7"/>
  <c r="R41" i="3" s="1"/>
  <c r="U36" i="7"/>
  <c r="H41" i="3"/>
  <c r="Q41" i="3"/>
  <c r="S27" i="7"/>
  <c r="R32" i="3" s="1"/>
  <c r="U27" i="7"/>
  <c r="H32" i="3"/>
  <c r="Q32" i="3"/>
  <c r="B7" i="3"/>
  <c r="B8" i="3"/>
  <c r="H14" i="3"/>
  <c r="Q14" i="3"/>
  <c r="S9" i="7"/>
  <c r="R14" i="3" s="1"/>
  <c r="U9" i="7"/>
  <c r="M33" i="3" l="1"/>
  <c r="O33" i="3"/>
  <c r="W28" i="7" s="1"/>
  <c r="M31" i="3"/>
  <c r="O31" i="3"/>
  <c r="W26" i="7" s="1"/>
  <c r="M17" i="3"/>
  <c r="O17" i="3"/>
  <c r="W12" i="7" s="1"/>
  <c r="M16" i="3"/>
  <c r="O16" i="3"/>
  <c r="W11" i="7" s="1"/>
  <c r="M15" i="3"/>
  <c r="O15" i="3"/>
  <c r="W10" i="7" s="1"/>
  <c r="M18" i="3"/>
  <c r="O18" i="3"/>
  <c r="W13" i="7" s="1"/>
  <c r="M36" i="3"/>
  <c r="O36" i="3"/>
  <c r="W31" i="7" s="1"/>
  <c r="M22" i="3"/>
  <c r="O22" i="3"/>
  <c r="W17" i="7" s="1"/>
  <c r="M23" i="3"/>
  <c r="O23" i="3"/>
  <c r="W18" i="7" s="1"/>
  <c r="M24" i="3"/>
  <c r="O24" i="3"/>
  <c r="W19" i="7" s="1"/>
  <c r="M42" i="3"/>
  <c r="O42" i="3"/>
  <c r="W37" i="7" s="1"/>
  <c r="M29" i="3"/>
  <c r="O29" i="3"/>
  <c r="W24" i="7" s="1"/>
  <c r="M30" i="3"/>
  <c r="O30" i="3"/>
  <c r="W25" i="7" s="1"/>
  <c r="M40" i="3"/>
  <c r="O40" i="3"/>
  <c r="W35" i="7" s="1"/>
  <c r="M37" i="3"/>
  <c r="O37" i="3"/>
  <c r="W32" i="7" s="1"/>
  <c r="M26" i="3"/>
  <c r="O26" i="3"/>
  <c r="W21" i="7" s="1"/>
  <c r="M21" i="3"/>
  <c r="O21" i="3"/>
  <c r="W16" i="7" s="1"/>
  <c r="M25" i="3"/>
  <c r="O25" i="3"/>
  <c r="W20" i="7" s="1"/>
  <c r="M41" i="3"/>
  <c r="O41" i="3"/>
  <c r="W36" i="7" s="1"/>
  <c r="M32" i="3"/>
  <c r="O32" i="3"/>
  <c r="W27" i="7" s="1"/>
  <c r="M14" i="3"/>
  <c r="O14" i="3"/>
  <c r="X28" i="7" l="1"/>
  <c r="T28" i="7"/>
  <c r="X26" i="7"/>
  <c r="T26" i="7"/>
  <c r="X12" i="7"/>
  <c r="T12" i="7"/>
  <c r="X11" i="7"/>
  <c r="T11" i="7"/>
  <c r="T10" i="7"/>
  <c r="X10" i="7"/>
  <c r="X13" i="7"/>
  <c r="T13" i="7"/>
  <c r="X31" i="7"/>
  <c r="T31" i="7"/>
  <c r="X17" i="7"/>
  <c r="T17" i="7"/>
  <c r="X18" i="7"/>
  <c r="T18" i="7"/>
  <c r="X19" i="7"/>
  <c r="T19" i="7"/>
  <c r="X37" i="7"/>
  <c r="T37" i="7"/>
  <c r="X24" i="7"/>
  <c r="T24" i="7"/>
  <c r="X25" i="7"/>
  <c r="T25" i="7"/>
  <c r="X35" i="7"/>
  <c r="T35" i="7"/>
  <c r="X32" i="7"/>
  <c r="T32" i="7"/>
  <c r="T21" i="7"/>
  <c r="X21" i="7"/>
  <c r="X16" i="7"/>
  <c r="T16" i="7"/>
  <c r="T20" i="7"/>
  <c r="X20" i="7"/>
  <c r="X36" i="7"/>
  <c r="T36" i="7"/>
  <c r="X27" i="7"/>
  <c r="T27" i="7"/>
  <c r="W9" i="7"/>
  <c r="L4" i="5"/>
  <c r="X9" i="7" l="1"/>
  <c r="T9" i="7"/>
  <c r="B7" i="5"/>
  <c r="B8" i="5"/>
  <c r="B14" i="5" l="1"/>
  <c r="B12" i="5"/>
  <c r="B13" i="5"/>
  <c r="B18" i="5"/>
  <c r="B23" i="5"/>
  <c r="B19" i="5"/>
  <c r="B22" i="5"/>
  <c r="B17" i="5"/>
  <c r="B2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Vertex Strategic Finance</author>
  </authors>
  <commentList>
    <comment ref="A9" authorId="0" shapeId="0" xr:uid="{00000000-0006-0000-0100-000001000000}">
      <text>
        <r>
          <rPr>
            <sz val="10"/>
            <rFont val="Arial"/>
            <family val="2"/>
          </rPr>
          <t>Calculated: assessment revenue + treatment revenue + other revenue.</t>
        </r>
      </text>
    </comment>
    <comment ref="A10" authorId="0" shapeId="0" xr:uid="{00000000-0006-0000-0100-000002000000}">
      <text>
        <r>
          <rPr>
            <sz val="10"/>
            <rFont val="Arial"/>
            <family val="2"/>
          </rPr>
          <t>Initial assessments and re-assessments.</t>
        </r>
      </text>
    </comment>
    <comment ref="A11" authorId="0" shapeId="0" xr:uid="{00000000-0006-0000-0100-000003000000}">
      <text>
        <r>
          <rPr>
            <sz val="10"/>
            <rFont val="Arial"/>
            <family val="2"/>
          </rPr>
          <t>Follow-up treatment visits, including any billed directly to insurers.</t>
        </r>
      </text>
    </comment>
    <comment ref="A12" authorId="0" shapeId="0" xr:uid="{00000000-0006-0000-0100-000004000000}">
      <text>
        <r>
          <rPr>
            <sz val="10"/>
            <rFont val="Arial"/>
            <family val="2"/>
          </rPr>
          <t>Braces, orthotics, retail product sales, classes, and anything else not billed as an assessment or treatment.</t>
        </r>
      </text>
    </comment>
    <comment ref="A15" authorId="0" shapeId="0" xr:uid="{00000000-0006-0000-0100-000005000000}">
      <text>
        <r>
          <rPr>
            <sz val="10"/>
            <rFont val="Arial"/>
            <family val="2"/>
          </rPr>
          <t>Employed staff on payroll: reception, admin, and any employed practitioners. Include employer CPP, EI, WSIB and benefits.</t>
        </r>
      </text>
    </comment>
    <comment ref="A16" authorId="0" shapeId="0" xr:uid="{00000000-0006-0000-0100-000006000000}">
      <text>
        <r>
          <rPr>
            <sz val="10"/>
            <rFont val="Arial"/>
            <family val="2"/>
          </rPr>
          <t>Amounts paid to practitioners engaged as independent contractors, including fee splits.</t>
        </r>
      </text>
    </comment>
    <comment ref="A17" authorId="0" shapeId="0" xr:uid="{00000000-0006-0000-0100-000007000000}">
      <text>
        <r>
          <rPr>
            <sz val="10"/>
            <rFont val="Arial"/>
            <family val="2"/>
          </rPr>
          <t>Base rent, CAM and property tax recovery.</t>
        </r>
      </text>
    </comment>
    <comment ref="A18" authorId="0" shapeId="0" xr:uid="{00000000-0006-0000-0100-000008000000}">
      <text>
        <r>
          <rPr>
            <sz val="10"/>
            <rFont val="Arial"/>
            <family val="2"/>
          </rPr>
          <t>Practice management, scheduling, billing, phones and IT support.</t>
        </r>
      </text>
    </comment>
    <comment ref="A20" authorId="0" shapeId="0" xr:uid="{00000000-0006-0000-0100-000009000000}">
      <text>
        <r>
          <rPr>
            <sz val="10"/>
            <rFont val="Arial"/>
            <family val="2"/>
          </rPr>
          <t>Business, liability and professional insurance.</t>
        </r>
      </text>
    </comment>
    <comment ref="A22" authorId="0" shapeId="0" xr:uid="{00000000-0006-0000-0100-00000A000000}">
      <text>
        <r>
          <rPr>
            <sz val="10"/>
            <rFont val="Arial"/>
            <family val="2"/>
          </rPr>
          <t>Office supplies, clinical consumables, bank and merchant fees, professional fees.</t>
        </r>
      </text>
    </comment>
    <comment ref="A24" authorId="0" shapeId="0" xr:uid="{00000000-0006-0000-0100-00000B000000}">
      <text>
        <r>
          <rPr>
            <sz val="10"/>
            <rFont val="Arial"/>
            <family val="2"/>
          </rPr>
          <t>Calculated. Excludes owner draws, which are tracked separately below so you can see profit both before and after paying yourself.</t>
        </r>
      </text>
    </comment>
    <comment ref="A27" authorId="0" shapeId="0" xr:uid="{00000000-0006-0000-0100-00000C000000}">
      <text>
        <r>
          <rPr>
            <sz val="10"/>
            <rFont val="Arial"/>
            <family val="2"/>
          </rPr>
          <t>Unique patients treated during the month. Count each patient once, however many visits they had.</t>
        </r>
      </text>
    </comment>
    <comment ref="A28" authorId="0" shapeId="0" xr:uid="{00000000-0006-0000-0100-00000D000000}">
      <text>
        <r>
          <rPr>
            <sz val="10"/>
            <rFont val="Arial"/>
            <family val="2"/>
          </rPr>
          <t>Patients whose first-ever visit to the clinic fell in this month.</t>
        </r>
      </text>
    </comment>
    <comment ref="A29" authorId="0" shapeId="0" xr:uid="{00000000-0006-0000-0100-00000E000000}">
      <text>
        <r>
          <rPr>
            <sz val="10"/>
            <rFont val="Arial"/>
            <family val="2"/>
          </rPr>
          <t>Total visits completed in the month, across all practitioners.</t>
        </r>
      </text>
    </comment>
    <comment ref="A30" authorId="0" shapeId="0" xr:uid="{00000000-0006-0000-0100-00000F000000}">
      <text>
        <r>
          <rPr>
            <sz val="10"/>
            <rFont val="Arial"/>
            <family val="2"/>
          </rPr>
          <t>Total bookable slots your practitioners had available in the month. This is your capacity.</t>
        </r>
      </text>
    </comment>
    <comment ref="A31" authorId="0" shapeId="0" xr:uid="{00000000-0006-0000-0100-000010000000}">
      <text>
        <r>
          <rPr>
            <sz val="10"/>
            <rFont val="Arial"/>
            <family val="2"/>
          </rPr>
          <t>Slots that were booked, including any later cancelled or no-showed. Booked slots normally exceed completed treatments.</t>
        </r>
      </text>
    </comment>
    <comment ref="A32" authorId="0" shapeId="0" xr:uid="{00000000-0006-0000-0100-000011000000}">
      <text>
        <r>
          <rPr>
            <sz val="10"/>
            <rFont val="Arial"/>
            <family val="2"/>
          </rPr>
          <t>Total clinical hours worked by all practitioners, employed and contractor.</t>
        </r>
      </text>
    </comment>
    <comment ref="A35" authorId="0" shapeId="0" xr:uid="{00000000-0006-0000-0100-000012000000}">
      <text>
        <r>
          <rPr>
            <sz val="10"/>
            <rFont val="Arial"/>
            <family val="2"/>
          </rPr>
          <t>January is an entry cell. February onward carries forward automatically from the prior month's ending cash.</t>
        </r>
      </text>
    </comment>
    <comment ref="A36" authorId="0" shapeId="0" xr:uid="{00000000-0006-0000-0100-000013000000}">
      <text>
        <r>
          <rPr>
            <sz val="10"/>
            <rFont val="Arial"/>
            <family val="2"/>
          </rPr>
          <t>Cash and bank balances at month end, across all operating accounts.</t>
        </r>
      </text>
    </comment>
    <comment ref="A37" authorId="0" shapeId="0" xr:uid="{00000000-0006-0000-0100-000014000000}">
      <text>
        <r>
          <rPr>
            <sz val="10"/>
            <rFont val="Arial"/>
            <family val="2"/>
          </rPr>
          <t>Balance owing to the clinic at month end, from patients, insurers and third-party payers combined.</t>
        </r>
      </text>
    </comment>
    <comment ref="A38" authorId="0" shapeId="0" xr:uid="{00000000-0006-0000-0100-000015000000}">
      <text>
        <r>
          <rPr>
            <sz val="10"/>
            <rFont val="Arial"/>
            <family val="2"/>
          </rPr>
          <t>Payables, accruals, source deductions and HST owing at month end. Used for working capital and the current ratio.</t>
        </r>
      </text>
    </comment>
    <comment ref="A39" authorId="0" shapeId="0" xr:uid="{00000000-0006-0000-0100-000016000000}">
      <text>
        <r>
          <rPr>
            <sz val="10"/>
            <rFont val="Arial"/>
            <family val="2"/>
          </rPr>
          <t>What you paid yourself this month, whether by draw, dividend or salary, if it is not already inside Payroll above.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Vertex Strategic Finance</author>
  </authors>
  <commentList>
    <comment ref="C7" authorId="0" shapeId="0" xr:uid="{00000000-0006-0000-0500-000001000000}">
      <text>
        <r>
          <rPr>
            <sz val="10"/>
            <rFont val="Arial"/>
            <family val="2"/>
          </rPr>
          <t>365 days divided by 12. Change to the actual days in the month if you prefer.</t>
        </r>
      </text>
    </comment>
    <comment ref="C8" authorId="0" shapeId="0" xr:uid="{00000000-0006-0000-0500-000002000000}">
      <text>
        <r>
          <rPr>
            <sz val="10"/>
            <rFont val="Arial"/>
            <family val="2"/>
          </rPr>
          <t>How far past target still counts as amber rather than red on the dashboard.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Vertex Strategic Finance</author>
  </authors>
  <commentList>
    <comment ref="B4" authorId="0" shapeId="0" xr:uid="{00000000-0006-0000-0600-000001000000}">
      <text>
        <r>
          <rPr>
            <sz val="10"/>
            <rFont val="Arial"/>
            <family val="2"/>
          </rPr>
          <t>The latest month with revenue entered on Monthly Inputs. Everything on the dashboard follows this month.</t>
        </r>
      </text>
    </comment>
  </commentList>
</comments>
</file>

<file path=xl/sharedStrings.xml><?xml version="1.0" encoding="utf-8"?>
<sst xmlns="http://schemas.openxmlformats.org/spreadsheetml/2006/main" count="438" uniqueCount="299">
  <si>
    <t>VERTEX STRATEGIC FINANCE</t>
  </si>
  <si>
    <t>Boutique CPA Advisory for Owner-Led Businesses</t>
  </si>
  <si>
    <t>Physiotherapy Clinic Financial KPI Scorecard</t>
  </si>
  <si>
    <t>Monitor the financial health of your clinic each month.</t>
  </si>
  <si>
    <t>This scorecard helps clinic owners monitor profitability, cash flow, productivity and business performance using a small set of meaningful KPIs.</t>
  </si>
  <si>
    <t>It is built for owner-operated physiotherapy clinics in Canada. Everything runs on about twenty numbers a month — figures you already have in your bookkeeping and practice management software. Enter them once a month and the workbook does the rest.</t>
  </si>
  <si>
    <t>HOW TO USE</t>
  </si>
  <si>
    <t>1.    Enter your numbers.   Go to Monthly Inputs and fill the shaded cells for the month just closed. Roughly twenty entries.</t>
  </si>
  <si>
    <t>2.    Set your targets.   Open KPI Targets and enter the target you are actually aiming for against each KPI. Any figures already there are fictional examples.</t>
  </si>
  <si>
    <t>3.    Read the dashboard.   KPI Dashboard shows every measure against your target, with a traffic light and a trend arrow.</t>
  </si>
  <si>
    <t>4.    Check the summary.   Monthly Performance Summary names your strongest and weakest measures and where to focus.</t>
  </si>
  <si>
    <t>5.    Look at the trend, not the month.   One month tells you very little. Three months in a row tells you almost everything.</t>
  </si>
  <si>
    <t>The workbook arrives with twelve months of fictional sample data so you can see how it reads before entering anything of your own. Shaded cells are yours to fill in; every other cell calculates itself and is protected against accidental edits.</t>
  </si>
  <si>
    <t>A NOTE ON TARGETS</t>
  </si>
  <si>
    <t>Every target in this workbook is yours to set. Vertex Strategic Finance does not publish benchmark ranges for Canadian physiotherapy clinics, and this workbook does not invent them. What works varies considerably with clinic size, practitioner mix, contractor versus employee structure, payer mix and lease terms. Some KPIs are marked Context Dependent: the workbook reports them without judging them as good or bad, because the right direction depends on your clinic. Any targets pre-filled in the sample are fictional examples, not recommendations.</t>
  </si>
  <si>
    <t>DISCLAIMER</t>
  </si>
  <si>
    <t>This tool is provided for general informational purposes only and does not constitute accounting, tax, investment, or financial advice.</t>
  </si>
  <si>
    <t>Vertex Strategic Finance</t>
  </si>
  <si>
    <t>CPA-Led Accounting &amp; Advisory for Owner-Led Businesses</t>
  </si>
  <si>
    <t>www.vertexstrategicfinance.ca</t>
  </si>
  <si>
    <t>info@vertexstrategicfinance.ca</t>
  </si>
  <si>
    <t>Monthly Inputs   —   about twenty entries per month</t>
  </si>
  <si>
    <t>Type your numbers into the shaded cells. Bold grey rows calculate themselves. All figures in $ CAD unless the row says otherwise. Enter 0 for any revenue or expense line that does not apply — all three revenue and all nine expense lines are needed before profitability is scored. Leave a cell blank only if not yet entered.</t>
  </si>
  <si>
    <t>You enter</t>
  </si>
  <si>
    <t>Calculated</t>
  </si>
  <si>
    <t>Line Item</t>
  </si>
  <si>
    <t>Jan</t>
  </si>
  <si>
    <t>Feb</t>
  </si>
  <si>
    <t>Mar</t>
  </si>
  <si>
    <t>Apr</t>
  </si>
  <si>
    <t>May</t>
  </si>
  <si>
    <t>Jun</t>
  </si>
  <si>
    <t>Jul</t>
  </si>
  <si>
    <t>Aug</t>
  </si>
  <si>
    <t>Sep</t>
  </si>
  <si>
    <t>Oct</t>
  </si>
  <si>
    <t>Nov</t>
  </si>
  <si>
    <t>Dec</t>
  </si>
  <si>
    <t>REVENUE</t>
  </si>
  <si>
    <t>Total Revenue</t>
  </si>
  <si>
    <t>Assessment Revenue</t>
  </si>
  <si>
    <t>Treatment Revenue</t>
  </si>
  <si>
    <t>Other Revenue</t>
  </si>
  <si>
    <t>EXPENSES</t>
  </si>
  <si>
    <t>Payroll</t>
  </si>
  <si>
    <t>Contractor Fees</t>
  </si>
  <si>
    <t>Rent</t>
  </si>
  <si>
    <t>Software</t>
  </si>
  <si>
    <t>Marketing</t>
  </si>
  <si>
    <t>Insurance</t>
  </si>
  <si>
    <t>Utilities</t>
  </si>
  <si>
    <t>Office / Admin</t>
  </si>
  <si>
    <t>Other Expenses</t>
  </si>
  <si>
    <t>Total Operating Expenses</t>
  </si>
  <si>
    <t>OPERATIONAL</t>
  </si>
  <si>
    <t>Number of Patients</t>
  </si>
  <si>
    <t>Number of New Patients</t>
  </si>
  <si>
    <t>Number of Treatments</t>
  </si>
  <si>
    <t>Available Appointment Slots</t>
  </si>
  <si>
    <t>Booked Appointment Slots</t>
  </si>
  <si>
    <t>Hours Worked by Practitioners</t>
  </si>
  <si>
    <t>CASH &amp; WORKING CAPITAL</t>
  </si>
  <si>
    <t>Beginning Cash</t>
  </si>
  <si>
    <t>Ending Cash</t>
  </si>
  <si>
    <t>Accounts Receivable</t>
  </si>
  <si>
    <t>Current Liabilities</t>
  </si>
  <si>
    <t>Owner Draws</t>
  </si>
  <si>
    <t>Sample data: the figures above are fictional and illustrate how the workbook behaves. They are not benchmarks and do not describe any real clinic.</t>
  </si>
  <si>
    <t>Physiotherapy Clinic Financial KPI Scorecard   —   Executive Dashboard</t>
  </si>
  <si>
    <t>NET PROFIT</t>
  </si>
  <si>
    <t>NET PROFIT MARGIN</t>
  </si>
  <si>
    <t>CASH BALANCE</t>
  </si>
  <si>
    <t>CASH RUNWAY</t>
  </si>
  <si>
    <t>BOOKING UTILIZATION</t>
  </si>
  <si>
    <t>KPI SCORECARD</t>
  </si>
  <si>
    <t>KPI</t>
  </si>
  <si>
    <t>Current Month</t>
  </si>
  <si>
    <t>Target</t>
  </si>
  <si>
    <t>Better When</t>
  </si>
  <si>
    <t>Variance</t>
  </si>
  <si>
    <t>Status</t>
  </si>
  <si>
    <t>Trend</t>
  </si>
  <si>
    <t>Progress vs Target</t>
  </si>
  <si>
    <t>PROFITABILITY &amp; GROWTH</t>
  </si>
  <si>
    <t>Monthly Revenue</t>
  </si>
  <si>
    <t>Net Profit</t>
  </si>
  <si>
    <t>Net Profit Margin %</t>
  </si>
  <si>
    <t>Profit Less Owner Draws %</t>
  </si>
  <si>
    <t>Revenue Growth %</t>
  </si>
  <si>
    <t>Cash Balance</t>
  </si>
  <si>
    <t>Cash Runway (months)</t>
  </si>
  <si>
    <t>Net Cash Movement</t>
  </si>
  <si>
    <t>Working Capital</t>
  </si>
  <si>
    <t>Current Ratio</t>
  </si>
  <si>
    <t>Accounts Receivable Days</t>
  </si>
  <si>
    <t>PRODUCTIVITY</t>
  </si>
  <si>
    <t>Revenue per Patient</t>
  </si>
  <si>
    <t>Revenue per Treatment</t>
  </si>
  <si>
    <t>Revenue per Practitioner Hour</t>
  </si>
  <si>
    <t>Average Visits per Patient</t>
  </si>
  <si>
    <t>Booking Utilization %</t>
  </si>
  <si>
    <t>PATIENTS</t>
  </si>
  <si>
    <t>Returning Patient Ratio %</t>
  </si>
  <si>
    <t>New Patient %</t>
  </si>
  <si>
    <t>COST STRUCTURE</t>
  </si>
  <si>
    <t>Payroll &amp; Contractor % of Revenue</t>
  </si>
  <si>
    <t>Marketing % of Revenue</t>
  </si>
  <si>
    <t>Owner Compensation %</t>
  </si>
  <si>
    <t>Green means the target was met. Amber means it was missed but sits inside the tolerance band set on KPI Targets, measured either side of the target so it works for positive, zero and negative targets. Red means it was missed beyond that band. Monitor means Better When is Context, so the KPI is reported without a verdict. Incomplete inputs means the figures this KPI needs have not all been entered for the reporting month — profitability needs all three revenue lines and all nine expense lines. N/M means they were entered but leave the measure undefined.</t>
  </si>
  <si>
    <t>Vertex Strategic Finance   |   CPA-Led Accounting &amp; Advisory for Owner-Led Businesses   |   www.vertexstrategicfinance.ca</t>
  </si>
  <si>
    <t>KPI Definitions   —   what each measure is, and why it earns its place</t>
  </si>
  <si>
    <t>This workbook does not publish or imply industry benchmarks for Canadian physiotherapy clinics. The column on the right explains how to think about setting each target; enter the target itself on the KPI Targets tab.</t>
  </si>
  <si>
    <t>Definition</t>
  </si>
  <si>
    <t>Formula</t>
  </si>
  <si>
    <t>Why it matters</t>
  </si>
  <si>
    <t>How to set your target</t>
  </si>
  <si>
    <t>Total revenue billed in the month, across assessments, treatments and other income.</t>
  </si>
  <si>
    <t>Assessment + Treatment + Other Revenue</t>
  </si>
  <si>
    <t>It is the top of every other number in this workbook. Track it monthly, but judge it on a three-month rolling view rather than any single month.</t>
  </si>
  <si>
    <t>Set a target from your own capacity and growth plan.</t>
  </si>
  <si>
    <t>Revenue less all operating expenses.</t>
  </si>
  <si>
    <t>Total Revenue - Total Operating Expenses</t>
  </si>
  <si>
    <t>What the clinic itself earned in the month. Owner draws are a distribution of profit, not an operating expense, so they are excluded here and shown separately.</t>
  </si>
  <si>
    <t>Set a dollar target from your own plan. Judge the rate through Net Profit Margin.</t>
  </si>
  <si>
    <t>Net profit expressed as a percentage of revenue.</t>
  </si>
  <si>
    <t>Net Profit / Total Revenue</t>
  </si>
  <si>
    <t>The clearest measure of whether the clinic is genuinely profitable rather than simply busy. Unaffected by how much the owner chooses to draw.</t>
  </si>
  <si>
    <t>Set from your own plan. Compare against your own target and trend rather than any external figure.</t>
  </si>
  <si>
    <t>Accounting profit remaining after owner draws, as a percentage of revenue. Full name: Profit Less Owner Draws (% of Revenue).</t>
  </si>
  <si>
    <t>(Total Revenue - Total Operating Expenses - Owner Draws) / Total Revenue</t>
  </si>
  <si>
    <t>A planning measure, not a cash flow measure: it does not represent the change in the business's cash balance. Owner draws are a distribution, not an expense, so this is not a substitute for Net Profit Margin.</t>
  </si>
  <si>
    <t>Set from your own plan for how much profit you want left after draws. It is a distribution decision, not a performance standard.</t>
  </si>
  <si>
    <t>Change in total revenue against the prior month.</t>
  </si>
  <si>
    <t>(This month's Revenue / Last month's Revenue) - 1</t>
  </si>
  <si>
    <t>Direction matters more than level. Three consecutive negative months is a pattern, not a blip.</t>
  </si>
  <si>
    <t>Set from your own plan. Physiotherapy is seasonal, so read it against the same month last year as well as last month.</t>
  </si>
  <si>
    <t>Cash and bank balances at month end.</t>
  </si>
  <si>
    <t>Entered directly from your bank balances</t>
  </si>
  <si>
    <t>Profit is an opinion; cash is a fact. A profitable clinic can still run out of it.</t>
  </si>
  <si>
    <t>Set the cash floor you never want to go below.</t>
  </si>
  <si>
    <t>How many months the clinic could cover its costs from cash on hand if revenue stopped.</t>
  </si>
  <si>
    <t>Ending Cash / (Total Operating Expenses + Owner Draws)</t>
  </si>
  <si>
    <t>It is the measure of how much room you have to make a decision calmly rather than urgently.</t>
  </si>
  <si>
    <t>Set the runway you want to hold, based on how much room you want before a decision becomes urgent.</t>
  </si>
  <si>
    <t>The change in the clinic's cash position over the month.</t>
  </si>
  <si>
    <t>Ending Cash - Beginning Cash</t>
  </si>
  <si>
    <t>Shows whether the business converted its profit into money in the bank, which is not automatic.</t>
  </si>
  <si>
    <t>Set from your own plan. Individual months move with tax instalments and equipment.</t>
  </si>
  <si>
    <t>Short-term assets less short-term obligations.</t>
  </si>
  <si>
    <t>(Ending Cash + Accounts Receivable) - Current Liabilities</t>
  </si>
  <si>
    <t>The buffer between what you can convert to cash quickly and what you owe soon.</t>
  </si>
  <si>
    <t>Set your own floor. Read it alongside the Current Ratio.</t>
  </si>
  <si>
    <t>Short-term assets divided by short-term obligations.</t>
  </si>
  <si>
    <t>(Ending Cash + Accounts Receivable) / Current Liabilities</t>
  </si>
  <si>
    <t>Below 1.0 means short-term obligations exceed what you can readily cover.</t>
  </si>
  <si>
    <t>Set your own floor. Below 1.0 means short-term obligations exceed what you can readily cover — that is arithmetic, not a benchmark.</t>
  </si>
  <si>
    <t>How long, on average, it takes to collect what you have billed.</t>
  </si>
  <si>
    <t>(Accounts Receivable / Total Revenue) x Days in Month</t>
  </si>
  <si>
    <t>Rising A/R days means you are financing your patients and insurers out of your own cash.</t>
  </si>
  <si>
    <t>Set from your own billing and collection terms, then track the trend.</t>
  </si>
  <si>
    <t>Average revenue generated per unique patient in the month.</t>
  </si>
  <si>
    <t>Total Revenue / Number of Patients</t>
  </si>
  <si>
    <t>Rises when patients complete their plan of care and falls when they drop out early.</t>
  </si>
  <si>
    <t>Compare against your own trailing twelve months.</t>
  </si>
  <si>
    <t>Average revenue per completed visit.</t>
  </si>
  <si>
    <t>Total Revenue / Number of Treatments</t>
  </si>
  <si>
    <t>A slow decline can indicate that fees have not moved while costs have.</t>
  </si>
  <si>
    <t>Set from your own fee schedule and payer mix.</t>
  </si>
  <si>
    <t>Revenue generated per clinical hour worked, across all practitioners.</t>
  </si>
  <si>
    <t>Total Revenue / Hours Worked by Practitioners</t>
  </si>
  <si>
    <t>The cleanest measure of clinical productivity, because it is unaffected by how many practitioners you have.</t>
  </si>
  <si>
    <t>Compare against your own trend.</t>
  </si>
  <si>
    <t>Average number of visits each patient attended in the month.</t>
  </si>
  <si>
    <t>Number of Treatments / Number of Patients</t>
  </si>
  <si>
    <t>A falling figure can indicate that patients are disengaging before completing their plan of care.</t>
  </si>
  <si>
    <t>Context dependent and clinically driven. This is a clinical judgement, not a financial target.</t>
  </si>
  <si>
    <t>Booked appointment slots as a share of the slots you had available.</t>
  </si>
  <si>
    <t>Booked Appointment Slots / Available Appointment Slots</t>
  </si>
  <si>
    <t>The fastest lever in the clinic. Filling existing capacity costs far less than adding more.</t>
  </si>
  <si>
    <t>Context: Read it against your own capacity plan; a very high figure can mean unmet demand.</t>
  </si>
  <si>
    <t>Patients seen this month who were not new, expressed against the total number of patients seen last month.</t>
  </si>
  <si>
    <t>(Patients - New Patients) / Last month's Patients</t>
  </si>
  <si>
    <t>A directional comparison, not a cohort retention rate: the returning patients counted this month are not necessarily the same people counted last month, so the figure can exceed 100%.</t>
  </si>
  <si>
    <t>Compare against your own trend. It is a directional ratio, not a measure of true patient retention and not a clinical measure.</t>
  </si>
  <si>
    <t>New patients as a share of total patients treated in the month.</t>
  </si>
  <si>
    <t>Number of New Patients / Number of Patients</t>
  </si>
  <si>
    <t>Your replacement rate. Every clinic loses patients; this is how fast you replace them.</t>
  </si>
  <si>
    <t>Context: Read it together with the Returning Patient Ratio.</t>
  </si>
  <si>
    <t>Total practitioner and staff cost as a share of revenue, whether paid as payroll or contractor fees.</t>
  </si>
  <si>
    <t>(Payroll + Contractor Fees) / Total Revenue</t>
  </si>
  <si>
    <t>Almost always the largest cost in the clinic, and the one that quietly moves against you as you grow.</t>
  </si>
  <si>
    <t>Set from your own staffing model. Contractor-heavy clinics sit differently from employee-heavy ones.</t>
  </si>
  <si>
    <t>Marketing spend as a share of revenue.</t>
  </si>
  <si>
    <t>Marketing / Total Revenue</t>
  </si>
  <si>
    <t>Judged alone it means little. Judged against New Patient % it tells you what your patient acquisition actually costs.</t>
  </si>
  <si>
    <t>Context: Judge it against New Patient % and what each new patient costs you, not against a percentage.</t>
  </si>
  <si>
    <t>Owner draws as a share of revenue.</t>
  </si>
  <si>
    <t>Owner Draws / Total Revenue</t>
  </si>
  <si>
    <t>Separates what you take out from what the business earns. Owner draws are a distribution of profit, not an operating expense, so this ratio is shown for context and is not scored.</t>
  </si>
  <si>
    <t>Context: A remuneration and tax planning question, not a performance measure.</t>
  </si>
  <si>
    <t>Helper: KPIs with a target set</t>
  </si>
  <si>
    <t>OVERALL CLINIC FINANCIAL HEALTH</t>
  </si>
  <si>
    <t>STRONGEST KPIS</t>
  </si>
  <si>
    <t>KPIS UNDER PRESSURE</t>
  </si>
  <si>
    <t>SUGGESTED FOCUS AREAS</t>
  </si>
  <si>
    <t>Strongest lists only KPIs the dashboard shows as On Track, best attainment first. Under pressure lists only KPIs the dashboard shows as Action or Watch, Action first — a KPI that is on track never appears there, and one that is off target is never left out because its target happens to be zero. Both lists use the same status shown on the dashboard. They describe what the numbers did; they are not accounting, tax or financial advice.</t>
  </si>
  <si>
    <t>KPI Targets   —   the targets you set for your own clinic</t>
  </si>
  <si>
    <t>Every target on this sheet is yours to set. Vertex Strategic Finance does not publish benchmark ranges for Canadian physiotherapy clinics, and this workbook does not invent them. What works varies with clinic size, contractor versus employee structure, payer mix and lease terms. Set each target from your own plan, your own trend or your own capacity — the entire dashboard follows what you enter in the shaded column. Any targets pre-filled here are FICTIONAL EXAMPLE TARGETS included only to show how the dashboard behaves; they are not recommendations and not industry benchmarks. Leaving a target blank is a valid choice.</t>
  </si>
  <si>
    <t>ASSUMPTIONS</t>
  </si>
  <si>
    <t>Days in month (used for A/R Days)</t>
  </si>
  <si>
    <t>← shaded cells are yours to change</t>
  </si>
  <si>
    <t>Amber tolerance band</t>
  </si>
  <si>
    <t>Any figures already in the My Target column are FICTIONAL EXAMPLE TARGETS — not an industry benchmark and not a Vertex recommendation.</t>
  </si>
  <si>
    <t>Target Basis</t>
  </si>
  <si>
    <t>My Target</t>
  </si>
  <si>
    <t>Notes</t>
  </si>
  <si>
    <t>If off target, focus on</t>
  </si>
  <si>
    <t>Your own plan</t>
  </si>
  <si>
    <t>Higher</t>
  </si>
  <si>
    <t>Set a revenue target you are actually working toward.</t>
  </si>
  <si>
    <t>the mix of new patient flow and booking utilisation, which is where monthly revenue is won or lost</t>
  </si>
  <si>
    <t>A dollar target specific to your clinic, before any owner draws. Set it from your own plan.</t>
  </si>
  <si>
    <t>your two largest cost lines, which for most clinics are practitioner cost and rent</t>
  </si>
  <si>
    <t>Net profit as a share of revenue, before owner draws. Compare against your own target and your own trend.</t>
  </si>
  <si>
    <t>practitioner cost as a share of revenue, then rent, then everything else</t>
  </si>
  <si>
    <t>Profit Less Owner Draws (% of Revenue): revenue less operating expenses and owner draws, as a share of revenue. A planning measure, not a cash flow measure.</t>
  </si>
  <si>
    <t>whether cost growth is tracking ahead of revenue growth over the last three months</t>
  </si>
  <si>
    <t>Your own trend</t>
  </si>
  <si>
    <t>Month over month. Seasonal clinics should read this against the same month last year rather than last month.</t>
  </si>
  <si>
    <t>new patient volume and referral sources, which lead revenue by four to eight weeks</t>
  </si>
  <si>
    <t>Your cash floor</t>
  </si>
  <si>
    <t>Set a floor you never want to go below, and use that as the target.</t>
  </si>
  <si>
    <t>the gap between accounts receivable days and how quickly you pay your own bills</t>
  </si>
  <si>
    <t>Cash divided by that month's total cash cost, including owner draws, because draws leave the bank account like any other payment. Set the runway you want to hold.</t>
  </si>
  <si>
    <t>building a cash floor before anything else, because every other decision gets easier with one</t>
  </si>
  <si>
    <t>Ending cash less beginning cash. Individual months move with tax instalments and equipment purchases.</t>
  </si>
  <si>
    <t>the timing difference between when you deliver treatment and when you are paid for it</t>
  </si>
  <si>
    <t>Depends heavily on your payer mix and payment terms. Set your own floor.</t>
  </si>
  <si>
    <t>collections, since receivables are usually the largest movable part of working capital</t>
  </si>
  <si>
    <t>Your own floor</t>
  </si>
  <si>
    <t>Simple version: cash plus receivables against current liabilities. Set the floor you want to hold.</t>
  </si>
  <si>
    <t>whether payables and source deductions are being stretched to fund operations</t>
  </si>
  <si>
    <t>Lower</t>
  </si>
  <si>
    <t>Uses the days-in-month assumption on this sheet. Compare against your own collection terms and your own trend.</t>
  </si>
  <si>
    <t>third-party and insurer billing, where most physiotherapy receivables age</t>
  </si>
  <si>
    <t>Varies with case mix and episode length. Compare against your own trend rather than any external figure.</t>
  </si>
  <si>
    <t>whether patients are completing their recommended plan of care</t>
  </si>
  <si>
    <t>Your fee schedule</t>
  </si>
  <si>
    <t>Driven by your fee schedule and payer mix. Set the target from your own fees.</t>
  </si>
  <si>
    <t>fee schedule review and whether add-on services are being billed consistently</t>
  </si>
  <si>
    <t>Compare mainly against your own trend.</t>
  </si>
  <si>
    <t>schedule density and the ratio of treatment time to administrative time</t>
  </si>
  <si>
    <t>Clinical judgement</t>
  </si>
  <si>
    <t>Context</t>
  </si>
  <si>
    <t>Clinically driven. Higher is not automatically better; appropriate visit frequency depends on the plan of care.</t>
  </si>
  <si>
    <t>drop-off between the first and third visit, where most attrition happens</t>
  </si>
  <si>
    <t>Your own capacity</t>
  </si>
  <si>
    <t>Context dependent. A very high figure can mean unmet demand and a lower one can reflect deliberate capacity. Read it against your own capacity plan.</t>
  </si>
  <si>
    <t>cancellation and no-show policy, and how quickly vacated slots get refilled</t>
  </si>
  <si>
    <t>A directional ratio: returning patients this month against total patients last month. Not a cohort retention rate, and it can exceed 100%. Set a target from your own trend.</t>
  </si>
  <si>
    <t>the first-visit experience and how clearly the plan of care is explained</t>
  </si>
  <si>
    <t>Context dependent. A high share can reflect growth, but it can also sit alongside a falling Returning Patient Ratio. Read the two together.</t>
  </si>
  <si>
    <t>referral sources, and which of them actually convert to a completed plan of care</t>
  </si>
  <si>
    <t>Your own model</t>
  </si>
  <si>
    <t>Combines payroll and contractor fees, because in physiotherapy the two are substitutes for each other. Compare against the target you set.</t>
  </si>
  <si>
    <t>the split arrangement with practitioners and whether admin hours have grown with revenue</t>
  </si>
  <si>
    <t>Context dependent. More spending is not automatically better and less is not automatically efficient. Read it against New Patient % and what each new patient costs you.</t>
  </si>
  <si>
    <t>which channels produce new patients who complete a plan of care, not just enquiries</t>
  </si>
  <si>
    <t>Your own arrangement</t>
  </si>
  <si>
    <t>Context dependent. The right level depends on your role in the clinic, your remuneration structure and your tax planning.</t>
  </si>
  <si>
    <t>whether your draws reflect the clinical work you personally deliver plus a return on ownership</t>
  </si>
  <si>
    <t>Leaving a target blank is a valid choice — the dashboard shows "Set target" rather than inventing a standard for you. Where Better When is marked Context, the direction that counts as better depends on your clinic's model and circumstances, so the dashboard reports the current value and your target without scoring it as good or bad.</t>
  </si>
  <si>
    <t>KPI Data   —   twelve months of calculated KPIs, feeding the dashboard</t>
  </si>
  <si>
    <t>Month completeness flags — used to choose the reporting month.</t>
  </si>
  <si>
    <t>Reporting month #</t>
  </si>
  <si>
    <t>This sheet is the calculation engine. Every figure is derived from Monthly Inputs; nothing here is entered by hand. Profitability needs all three revenue lines and all nine expense lines entered for the month; a blank means not entered, an entered zero is a real zero. The reporting month is the latest month with any figure entered.</t>
  </si>
  <si>
    <t>Latest</t>
  </si>
  <si>
    <t>Prior</t>
  </si>
  <si>
    <t>YTD / Avg</t>
  </si>
  <si>
    <t>Score</t>
  </si>
  <si>
    <t>Pressure Key</t>
  </si>
  <si>
    <t>Latest (text)</t>
  </si>
  <si>
    <t>Target (text)</t>
  </si>
  <si>
    <t>Strength Key</t>
  </si>
  <si>
    <t>Inputs Entered</t>
  </si>
  <si>
    <t>Score compares the latest month with your target where a direction applies; 1.00 means the target was met exactly. KPIs marked Context are not scored. Pressure Key, Latest (text) and Target (text) support the Monthly Performance Summary, which ranks KPIs by the same status shown on the dashboard.</t>
  </si>
  <si>
    <t>Need Help Understanding Your Numbers?</t>
  </si>
  <si>
    <t>Most clinic owners we meet have accurate bookkeeping. Their records are clean, their filings are on time, and their accountant does good work. What they do not have is a way to turn any of it into a confident decision, whether to hire another practitioner, whether the lease renewal is affordable, whether this month was genuinely good or merely busy. Accurate history and useful foresight are different products, and most clinics are only buying the first one.</t>
  </si>
  <si>
    <t>That gap is the work we do.</t>
  </si>
  <si>
    <t>WHAT WE DO</t>
  </si>
  <si>
    <t>•    Bookkeeping  —  accurate, current, and structured so it can actually be reported on.</t>
  </si>
  <si>
    <t>•    Financial Reporting  —  monthly statements and KPI reporting written to be read, not filed.</t>
  </si>
  <si>
    <t>•    Cash Flow Forecasting  —  a forward view, so decisions get made early rather than urgently.</t>
  </si>
  <si>
    <t>•    Fractional CFO  —  a finance lead in the room for hiring, pricing, lease and expansion decisions.</t>
  </si>
  <si>
    <t>•    Business Advisory  —  the strategic questions that sit behind the numbers.</t>
  </si>
  <si>
    <t>Book a complimentary 30-minute discovery call to discuss your clinic's financial performance and growth goals.</t>
  </si>
  <si>
    <t>info@vertexstrategicfinance.ca        www.vertexstrategicfinance.ca</t>
  </si>
  <si>
    <t>This workbook is provided for general informational purposes only and does not constitute accounting, tax, investment, or financial advice.</t>
  </si>
  <si>
    <t>Monthly Performance Summary generated from your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</si>
</sst>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0;\(\$#,##0\);&quot;-&quot;"/>
    <numFmt numFmtId="165" formatCode="#,##0;\(#,##0\);\-"/>
    <numFmt numFmtId="166" formatCode="0.0%;\(0.0%\);\-"/>
    <numFmt numFmtId="167" formatCode="0.0&quot; mo&quot;"/>
    <numFmt numFmtId="168" formatCode="\$#,##0;&quot;($&quot;#,##0\)"/>
    <numFmt numFmtId="169" formatCode="&quot;+$&quot;#,##0;&quot;-$&quot;#,##0;\-"/>
    <numFmt numFmtId="170" formatCode="0.0%;\(0.0%\)"/>
    <numFmt numFmtId="171" formatCode="\+0.0%;\-0.0%;\-"/>
    <numFmt numFmtId="172" formatCode="0.0;\(0.0\);\-"/>
    <numFmt numFmtId="173" formatCode="0.0;\(0.0\)"/>
    <numFmt numFmtId="174" formatCode="\+0.0;\-0.0;\-"/>
    <numFmt numFmtId="175" formatCode="0.00;\(0.00\);\-"/>
    <numFmt numFmtId="176" formatCode="0.00;\(0.00\)"/>
    <numFmt numFmtId="177" formatCode="\+0.00;\-0.00;\-"/>
    <numFmt numFmtId="178" formatCode="\$#,##0.00;\(\$#,##0.00\);&quot;-&quot;"/>
    <numFmt numFmtId="179" formatCode="\$#,##0.00;&quot;($&quot;#,##0.00\)"/>
    <numFmt numFmtId="180" formatCode="&quot;+$&quot;#,##0.00;&quot;-$&quot;#,##0.00;\-"/>
    <numFmt numFmtId="182" formatCode="0.0"/>
    <numFmt numFmtId="183" formatCode="0.000000"/>
  </numFmts>
  <fonts count="37" x14ac:knownFonts="1">
    <font>
      <sz val="11"/>
      <color theme="1"/>
      <name val="Calibri"/>
      <family val="2"/>
      <charset val="1"/>
    </font>
    <font>
      <b/>
      <sz val="14"/>
      <color rgb="FFFFFFFF"/>
      <name val="Calibri"/>
      <charset val="1"/>
    </font>
    <font>
      <sz val="11"/>
      <color rgb="FFFFFFFF"/>
      <name val="Calibri"/>
      <charset val="1"/>
    </font>
    <font>
      <b/>
      <sz val="20"/>
      <color rgb="FF083152"/>
      <name val="Calibri"/>
      <charset val="1"/>
    </font>
    <font>
      <sz val="13"/>
      <color rgb="FF5A6B76"/>
      <name val="Calibri"/>
      <charset val="1"/>
    </font>
    <font>
      <sz val="11"/>
      <color rgb="FF1A2A35"/>
      <name val="Calibri"/>
      <charset val="1"/>
    </font>
    <font>
      <b/>
      <sz val="12"/>
      <color rgb="FF23727C"/>
      <name val="Calibri"/>
      <charset val="1"/>
    </font>
    <font>
      <b/>
      <sz val="10"/>
      <color rgb="FF5A6B76"/>
      <name val="Calibri"/>
      <charset val="1"/>
    </font>
    <font>
      <sz val="10"/>
      <color rgb="FF5A6B76"/>
      <name val="Calibri"/>
      <charset val="1"/>
    </font>
    <font>
      <i/>
      <sz val="10"/>
      <color rgb="FF5A6B76"/>
      <name val="Calibri"/>
      <charset val="1"/>
    </font>
    <font>
      <b/>
      <sz val="12"/>
      <color rgb="FF083152"/>
      <name val="Calibri"/>
      <charset val="1"/>
    </font>
    <font>
      <sz val="11"/>
      <color rgb="FF5A6B76"/>
      <name val="Calibri"/>
      <charset val="1"/>
    </font>
    <font>
      <sz val="11"/>
      <color rgb="FF23727C"/>
      <name val="Calibri"/>
      <charset val="1"/>
    </font>
    <font>
      <b/>
      <sz val="13"/>
      <color rgb="FFFFFFFF"/>
      <name val="Calibri"/>
      <charset val="1"/>
    </font>
    <font>
      <b/>
      <sz val="9.5"/>
      <color rgb="FF083152"/>
      <name val="Calibri"/>
      <charset val="1"/>
    </font>
    <font>
      <b/>
      <sz val="10.5"/>
      <color rgb="FFFFFFFF"/>
      <name val="Calibri"/>
      <charset val="1"/>
    </font>
    <font>
      <b/>
      <sz val="10"/>
      <color rgb="FF23727C"/>
      <name val="Calibri"/>
      <charset val="1"/>
    </font>
    <font>
      <b/>
      <sz val="11"/>
      <color rgb="FF083152"/>
      <name val="Calibri"/>
      <charset val="1"/>
    </font>
    <font>
      <sz val="11"/>
      <color rgb="FF0000CC"/>
      <name val="Calibri"/>
      <charset val="1"/>
    </font>
    <font>
      <sz val="10"/>
      <name val="Arial"/>
      <family val="2"/>
    </font>
    <font>
      <b/>
      <sz val="8.5"/>
      <color rgb="FF23727C"/>
      <name val="Calibri"/>
      <charset val="1"/>
    </font>
    <font>
      <b/>
      <sz val="18"/>
      <color rgb="FF083152"/>
      <name val="Calibri"/>
      <charset val="1"/>
    </font>
    <font>
      <sz val="8.5"/>
      <color rgb="FF5A6B76"/>
      <name val="Calibri"/>
      <charset val="1"/>
    </font>
    <font>
      <b/>
      <sz val="10.5"/>
      <color rgb="FF1A2A35"/>
      <name val="Calibri"/>
      <charset val="1"/>
    </font>
    <font>
      <b/>
      <sz val="11"/>
      <color rgb="FF1A2A35"/>
      <name val="Calibri"/>
      <charset val="1"/>
    </font>
    <font>
      <b/>
      <sz val="10.5"/>
      <color rgb="FF083152"/>
      <name val="Calibri"/>
      <charset val="1"/>
    </font>
    <font>
      <sz val="10.5"/>
      <color rgb="FF1A2A35"/>
      <name val="Calibri"/>
      <charset val="1"/>
    </font>
    <font>
      <sz val="10"/>
      <color rgb="FF23727C"/>
      <name val="Calibri"/>
      <charset val="1"/>
    </font>
    <font>
      <sz val="9"/>
      <color rgb="FF5A6B76"/>
      <name val="Calibri"/>
      <charset val="1"/>
    </font>
    <font>
      <b/>
      <sz val="11"/>
      <color rgb="FF23727C"/>
      <name val="Calibri"/>
      <charset val="1"/>
    </font>
    <font>
      <b/>
      <sz val="22"/>
      <color rgb="FF083152"/>
      <name val="Calibri"/>
      <charset val="1"/>
    </font>
    <font>
      <sz val="10.5"/>
      <color rgb="FF5A6B76"/>
      <name val="Calibri"/>
      <charset val="1"/>
    </font>
    <font>
      <i/>
      <sz val="9.5"/>
      <color rgb="FF5A6B76"/>
      <name val="Calibri"/>
      <charset val="1"/>
    </font>
    <font>
      <i/>
      <sz val="9"/>
      <color rgb="FF5A6B76"/>
      <name val="Calibri"/>
      <charset val="1"/>
    </font>
    <font>
      <sz val="10.5"/>
      <color rgb="FF0000CC"/>
      <name val="Calibri"/>
      <charset val="1"/>
    </font>
    <font>
      <sz val="8"/>
      <color rgb="FFFFFFFF"/>
      <name val="Arial"/>
      <charset val="1"/>
    </font>
    <font>
      <b/>
      <sz val="13"/>
      <color rgb="FF083152"/>
      <name val="Calibri"/>
      <charset val="1"/>
    </font>
  </fonts>
  <fills count="6">
    <fill>
      <patternFill patternType="none"/>
    </fill>
    <fill>
      <patternFill patternType="gray125"/>
    </fill>
    <fill>
      <patternFill patternType="solid">
        <fgColor rgb="FF083152"/>
        <bgColor rgb="FF1A2A35"/>
      </patternFill>
    </fill>
    <fill>
      <patternFill patternType="solid">
        <fgColor rgb="FF23727C"/>
        <bgColor rgb="FF1E7A45"/>
      </patternFill>
    </fill>
    <fill>
      <patternFill patternType="solid">
        <fgColor rgb="FFF4F6F8"/>
        <bgColor rgb="FFEAF1F4"/>
      </patternFill>
    </fill>
    <fill>
      <patternFill patternType="solid">
        <fgColor rgb="FFEAF1F4"/>
        <bgColor rgb="FFE4F2E9"/>
      </patternFill>
    </fill>
  </fills>
  <borders count="14">
    <border>
      <left/>
      <right/>
      <top/>
      <bottom/>
      <diagonal/>
    </border>
    <border>
      <left/>
      <right/>
      <top style="medium">
        <color rgb="FF083152"/>
      </top>
      <bottom/>
      <diagonal/>
    </border>
    <border>
      <left style="thin">
        <color rgb="FFD6DCE1"/>
      </left>
      <right style="thin">
        <color rgb="FFD6DCE1"/>
      </right>
      <top style="thin">
        <color rgb="FFD6DCE1"/>
      </top>
      <bottom style="thin">
        <color rgb="FFD6DCE1"/>
      </bottom>
      <diagonal/>
    </border>
    <border>
      <left style="thin">
        <color rgb="FFD6DCE1"/>
      </left>
      <right style="thin">
        <color rgb="FFD6DCE1"/>
      </right>
      <top style="thin">
        <color rgb="FFD6DCE1"/>
      </top>
      <bottom/>
      <diagonal/>
    </border>
    <border>
      <left style="thin">
        <color rgb="FFD6DCE1"/>
      </left>
      <right style="thin">
        <color rgb="FFD6DCE1"/>
      </right>
      <top/>
      <bottom/>
      <diagonal/>
    </border>
    <border>
      <left style="thin">
        <color rgb="FFD6DCE1"/>
      </left>
      <right style="thin">
        <color rgb="FFD6DCE1"/>
      </right>
      <top/>
      <bottom style="thin">
        <color rgb="FFD6DCE1"/>
      </bottom>
      <diagonal/>
    </border>
    <border>
      <left style="thin">
        <color rgb="FFD6DCE1"/>
      </left>
      <right/>
      <top style="thin">
        <color rgb="FFD6DCE1"/>
      </top>
      <bottom style="thin">
        <color rgb="FFD6DCE1"/>
      </bottom>
      <diagonal/>
    </border>
    <border>
      <left/>
      <right style="thin">
        <color rgb="FFD6DCE1"/>
      </right>
      <top style="thin">
        <color rgb="FFD6DCE1"/>
      </top>
      <bottom style="thin">
        <color rgb="FFD6DCE1"/>
      </bottom>
      <diagonal/>
    </border>
    <border>
      <left/>
      <right/>
      <top/>
      <bottom style="thin">
        <color rgb="FFD6DCE1"/>
      </bottom>
      <diagonal/>
    </border>
    <border>
      <left style="thin">
        <color rgb="FFD6DCE1"/>
      </left>
      <right/>
      <top style="thin">
        <color rgb="FFD6DCE1"/>
      </top>
      <bottom/>
      <diagonal/>
    </border>
    <border>
      <left/>
      <right/>
      <top style="thin">
        <color rgb="FFD6DCE1"/>
      </top>
      <bottom/>
      <diagonal/>
    </border>
    <border>
      <left/>
      <right style="thin">
        <color rgb="FFD6DCE1"/>
      </right>
      <top style="thin">
        <color rgb="FFD6DCE1"/>
      </top>
      <bottom/>
      <diagonal/>
    </border>
    <border>
      <left style="thin">
        <color rgb="FFD6DCE1"/>
      </left>
      <right/>
      <top/>
      <bottom style="thin">
        <color rgb="FFD6DCE1"/>
      </bottom>
      <diagonal/>
    </border>
    <border>
      <left/>
      <right style="thin">
        <color rgb="FFD6DCE1"/>
      </right>
      <top/>
      <bottom style="thin">
        <color rgb="FFD6DCE1"/>
      </bottom>
      <diagonal/>
    </border>
  </borders>
  <cellStyleXfs count="1">
    <xf numFmtId="0" fontId="0" fillId="0" borderId="0"/>
  </cellStyleXfs>
  <cellXfs count="128">
    <xf numFmtId="0" fontId="0" fillId="0" borderId="0" xfId="0"/>
    <xf numFmtId="0" fontId="15" fillId="2" borderId="0" xfId="0" applyFont="1" applyFill="1" applyAlignment="1">
      <alignment horizontal="left" vertical="center" wrapText="1" indent="1"/>
    </xf>
    <xf numFmtId="0" fontId="10" fillId="0" borderId="0" xfId="0" applyFont="1" applyAlignment="1">
      <alignment vertical="center"/>
    </xf>
    <xf numFmtId="0" fontId="22" fillId="4" borderId="5" xfId="0" applyFont="1" applyFill="1" applyBorder="1" applyAlignment="1">
      <alignment horizontal="center" vertical="center"/>
    </xf>
    <xf numFmtId="167" fontId="21" fillId="4" borderId="4" xfId="0" applyNumberFormat="1" applyFont="1" applyFill="1" applyBorder="1" applyAlignment="1">
      <alignment horizontal="center" vertical="center"/>
    </xf>
    <xf numFmtId="166" fontId="21" fillId="4" borderId="4" xfId="0" applyNumberFormat="1" applyFont="1" applyFill="1" applyBorder="1" applyAlignment="1">
      <alignment horizontal="center" vertical="center"/>
    </xf>
    <xf numFmtId="164" fontId="21" fillId="4" borderId="4" xfId="0" applyNumberFormat="1" applyFont="1" applyFill="1" applyBorder="1" applyAlignment="1">
      <alignment horizontal="center" vertical="center"/>
    </xf>
    <xf numFmtId="0" fontId="20" fillId="4" borderId="3" xfId="0" applyFont="1" applyFill="1" applyBorder="1" applyAlignment="1">
      <alignment horizontal="center" vertical="center"/>
    </xf>
    <xf numFmtId="0" fontId="17" fillId="0" borderId="0" xfId="0" applyFont="1" applyAlignment="1">
      <alignment vertical="center"/>
    </xf>
    <xf numFmtId="0" fontId="1" fillId="2" borderId="0" xfId="0" applyFont="1" applyFill="1" applyAlignment="1">
      <alignment horizontal="left" vertical="center" indent="1"/>
    </xf>
    <xf numFmtId="0" fontId="9" fillId="0" borderId="0" xfId="0" applyFont="1" applyAlignment="1">
      <alignment vertical="center" indent="1"/>
    </xf>
    <xf numFmtId="0" fontId="16" fillId="4" borderId="0" xfId="0" applyFont="1" applyFill="1" applyAlignment="1">
      <alignment vertical="center" indent="1"/>
    </xf>
    <xf numFmtId="0" fontId="8" fillId="0" borderId="0" xfId="0" applyFont="1" applyAlignment="1">
      <alignment vertical="top" wrapText="1" indent="1"/>
    </xf>
    <xf numFmtId="0" fontId="2" fillId="3" borderId="0" xfId="0" applyFont="1" applyFill="1" applyAlignment="1">
      <alignment horizontal="left" vertical="center" indent="1"/>
    </xf>
    <xf numFmtId="0" fontId="13" fillId="2" borderId="0" xfId="0" applyFont="1" applyFill="1" applyAlignment="1">
      <alignment horizontal="left" vertical="center" indent="1"/>
    </xf>
    <xf numFmtId="0" fontId="3" fillId="0" borderId="0" xfId="0" applyFont="1" applyAlignment="1">
      <alignment horizontal="left" vertical="top" wrapText="1" indent="1"/>
    </xf>
    <xf numFmtId="0" fontId="4" fillId="0" borderId="0" xfId="0" applyFont="1" applyAlignment="1">
      <alignment horizontal="left" vertical="top" wrapText="1" indent="1"/>
    </xf>
    <xf numFmtId="0" fontId="5" fillId="0" borderId="0" xfId="0" applyFont="1" applyAlignment="1">
      <alignment horizontal="left" vertical="top" wrapText="1" indent="1"/>
    </xf>
    <xf numFmtId="0" fontId="6" fillId="0" borderId="0" xfId="0" applyFont="1" applyAlignment="1">
      <alignment horizontal="left" vertical="top" wrapText="1" indent="1"/>
    </xf>
    <xf numFmtId="0" fontId="5" fillId="0" borderId="0" xfId="0" applyFont="1" applyAlignment="1">
      <alignment horizontal="left" vertical="top" wrapText="1" indent="2"/>
    </xf>
    <xf numFmtId="0" fontId="0" fillId="4" borderId="0" xfId="0" applyFill="1"/>
    <xf numFmtId="0" fontId="5" fillId="4" borderId="0" xfId="0" applyFont="1" applyFill="1" applyAlignment="1">
      <alignment horizontal="left" vertical="top" wrapText="1" indent="1"/>
    </xf>
    <xf numFmtId="0" fontId="7" fillId="0" borderId="0" xfId="0" applyFont="1" applyAlignment="1">
      <alignment horizontal="left" vertical="top" wrapText="1" indent="1"/>
    </xf>
    <xf numFmtId="0" fontId="8" fillId="0" borderId="0" xfId="0" applyFont="1" applyAlignment="1">
      <alignment horizontal="left" vertical="top" wrapText="1" indent="1"/>
    </xf>
    <xf numFmtId="0" fontId="9" fillId="4" borderId="0" xfId="0" applyFont="1" applyFill="1" applyAlignment="1">
      <alignment horizontal="left" vertical="top" wrapText="1" indent="1"/>
    </xf>
    <xf numFmtId="0" fontId="0" fillId="0" borderId="1" xfId="0" applyBorder="1"/>
    <xf numFmtId="0" fontId="10" fillId="0" borderId="0" xfId="0" applyFont="1" applyAlignment="1">
      <alignment horizontal="left" vertical="top" wrapText="1" indent="1"/>
    </xf>
    <xf numFmtId="0" fontId="11" fillId="0" borderId="0" xfId="0" applyFont="1" applyAlignment="1">
      <alignment horizontal="left" vertical="top" wrapText="1" indent="1"/>
    </xf>
    <xf numFmtId="0" fontId="12" fillId="0" borderId="0" xfId="0" applyFont="1" applyAlignment="1">
      <alignment horizontal="left" vertical="top" wrapText="1" indent="1"/>
    </xf>
    <xf numFmtId="0" fontId="14" fillId="5" borderId="2" xfId="0" applyFont="1" applyFill="1" applyBorder="1" applyAlignment="1">
      <alignment horizontal="center"/>
    </xf>
    <xf numFmtId="0" fontId="14" fillId="4" borderId="2" xfId="0" applyFont="1" applyFill="1" applyBorder="1" applyAlignment="1">
      <alignment horizontal="center"/>
    </xf>
    <xf numFmtId="0" fontId="15" fillId="2" borderId="0" xfId="0" applyFont="1" applyFill="1" applyAlignment="1">
      <alignment horizontal="left" vertical="center" wrapText="1" indent="1"/>
    </xf>
    <xf numFmtId="0" fontId="15" fillId="2" borderId="0" xfId="0" applyFont="1" applyFill="1" applyAlignment="1">
      <alignment horizontal="center" vertical="center" wrapText="1"/>
    </xf>
    <xf numFmtId="0" fontId="16" fillId="4" borderId="0" xfId="0" applyFont="1" applyFill="1" applyAlignment="1">
      <alignment vertical="center" indent="1"/>
    </xf>
    <xf numFmtId="0" fontId="17" fillId="4" borderId="0" xfId="0" applyFont="1" applyFill="1" applyAlignment="1">
      <alignment vertical="center" indent="2"/>
    </xf>
    <xf numFmtId="164" fontId="17" fillId="4" borderId="2" xfId="0" applyNumberFormat="1" applyFont="1" applyFill="1" applyBorder="1" applyAlignment="1">
      <alignment horizontal="right"/>
    </xf>
    <xf numFmtId="0" fontId="5" fillId="0" borderId="0" xfId="0" applyFont="1" applyAlignment="1">
      <alignment vertical="center" indent="2"/>
    </xf>
    <xf numFmtId="164" fontId="18" fillId="5" borderId="2" xfId="0" applyNumberFormat="1" applyFont="1" applyFill="1" applyBorder="1" applyAlignment="1" applyProtection="1">
      <alignment horizontal="right"/>
      <protection locked="0"/>
    </xf>
    <xf numFmtId="165" fontId="18" fillId="5" borderId="2" xfId="0" applyNumberFormat="1" applyFont="1" applyFill="1" applyBorder="1" applyAlignment="1" applyProtection="1">
      <alignment horizontal="right"/>
      <protection locked="0"/>
    </xf>
    <xf numFmtId="0" fontId="5" fillId="0" borderId="2" xfId="0" applyFont="1" applyBorder="1" applyAlignment="1">
      <alignment vertical="center" indent="1"/>
    </xf>
    <xf numFmtId="0" fontId="8" fillId="0" borderId="2" xfId="0" applyFont="1" applyBorder="1" applyAlignment="1">
      <alignment horizontal="center" vertical="center"/>
    </xf>
    <xf numFmtId="0" fontId="24" fillId="0" borderId="2" xfId="0" applyFont="1" applyBorder="1" applyAlignment="1">
      <alignment horizontal="center" vertical="center"/>
    </xf>
    <xf numFmtId="0" fontId="12" fillId="0" borderId="6" xfId="0" applyFont="1" applyBorder="1" applyAlignment="1">
      <alignment horizontal="left" vertical="center" indent="1"/>
    </xf>
    <xf numFmtId="0" fontId="0" fillId="0" borderId="7" xfId="0" applyBorder="1"/>
    <xf numFmtId="0" fontId="25" fillId="0" borderId="2" xfId="0" applyFont="1" applyBorder="1" applyAlignment="1">
      <alignment vertical="top" wrapText="1" indent="1"/>
    </xf>
    <xf numFmtId="0" fontId="26" fillId="0" borderId="2" xfId="0" applyFont="1" applyBorder="1" applyAlignment="1">
      <alignment vertical="top" wrapText="1"/>
    </xf>
    <xf numFmtId="0" fontId="27" fillId="0" borderId="2" xfId="0" applyFont="1" applyBorder="1" applyAlignment="1">
      <alignment vertical="top" wrapText="1"/>
    </xf>
    <xf numFmtId="0" fontId="5" fillId="0" borderId="0" xfId="0" applyFont="1" applyAlignment="1">
      <alignment vertical="center" indent="1"/>
    </xf>
    <xf numFmtId="182" fontId="18" fillId="5" borderId="2" xfId="0" applyNumberFormat="1" applyFont="1" applyFill="1" applyBorder="1" applyAlignment="1" applyProtection="1">
      <alignment horizontal="center"/>
      <protection locked="0"/>
    </xf>
    <xf numFmtId="0" fontId="32" fillId="0" borderId="0" xfId="0" applyFont="1" applyAlignment="1">
      <alignment vertical="center" indent="1"/>
    </xf>
    <xf numFmtId="9" fontId="18" fillId="5" borderId="2" xfId="0" applyNumberFormat="1" applyFont="1" applyFill="1" applyBorder="1" applyAlignment="1" applyProtection="1">
      <alignment horizontal="center"/>
      <protection locked="0"/>
    </xf>
    <xf numFmtId="0" fontId="31" fillId="0" borderId="2" xfId="0" applyFont="1" applyBorder="1" applyAlignment="1">
      <alignment horizontal="center" vertical="center"/>
    </xf>
    <xf numFmtId="168" fontId="18" fillId="5" borderId="2" xfId="0" applyNumberFormat="1" applyFont="1" applyFill="1" applyBorder="1" applyAlignment="1" applyProtection="1">
      <alignment horizontal="center" vertical="center"/>
      <protection locked="0"/>
    </xf>
    <xf numFmtId="0" fontId="34" fillId="5" borderId="2" xfId="0" applyFont="1" applyFill="1" applyBorder="1" applyAlignment="1" applyProtection="1">
      <alignment horizontal="center" vertical="center"/>
      <protection locked="0"/>
    </xf>
    <xf numFmtId="0" fontId="8" fillId="0" borderId="2" xfId="0" applyFont="1" applyBorder="1" applyAlignment="1">
      <alignment vertical="top" wrapText="1" indent="1"/>
    </xf>
    <xf numFmtId="170" fontId="18" fillId="5" borderId="2" xfId="0" applyNumberFormat="1" applyFont="1" applyFill="1" applyBorder="1" applyAlignment="1" applyProtection="1">
      <alignment horizontal="center" vertical="center"/>
      <protection locked="0"/>
    </xf>
    <xf numFmtId="173" fontId="18" fillId="5" borderId="2" xfId="0" applyNumberFormat="1" applyFont="1" applyFill="1" applyBorder="1" applyAlignment="1" applyProtection="1">
      <alignment horizontal="center" vertical="center"/>
      <protection locked="0"/>
    </xf>
    <xf numFmtId="176" fontId="18" fillId="5" borderId="2" xfId="0" applyNumberFormat="1" applyFont="1" applyFill="1" applyBorder="1" applyAlignment="1" applyProtection="1">
      <alignment horizontal="center" vertical="center"/>
      <protection locked="0"/>
    </xf>
    <xf numFmtId="179" fontId="18" fillId="5" borderId="2" xfId="0" applyNumberFormat="1" applyFont="1" applyFill="1" applyBorder="1" applyAlignment="1" applyProtection="1">
      <alignment horizontal="center" vertical="center"/>
      <protection locked="0"/>
    </xf>
    <xf numFmtId="0" fontId="35" fillId="0" borderId="0" xfId="0" applyFont="1"/>
    <xf numFmtId="0" fontId="17" fillId="0" borderId="0" xfId="0" applyFont="1" applyAlignment="1">
      <alignment vertical="center" indent="1"/>
    </xf>
    <xf numFmtId="1" fontId="29" fillId="0" borderId="0" xfId="0" applyNumberFormat="1" applyFont="1" applyAlignment="1">
      <alignment horizontal="center" vertical="center"/>
    </xf>
    <xf numFmtId="0" fontId="29" fillId="0" borderId="0" xfId="0" applyFont="1" applyAlignment="1">
      <alignment horizontal="center" vertical="center"/>
    </xf>
    <xf numFmtId="1" fontId="35" fillId="0" borderId="0" xfId="0" applyNumberFormat="1" applyFont="1"/>
    <xf numFmtId="164" fontId="26" fillId="0" borderId="8" xfId="0" applyNumberFormat="1" applyFont="1" applyBorder="1" applyAlignment="1">
      <alignment horizontal="right"/>
    </xf>
    <xf numFmtId="164" fontId="25" fillId="4" borderId="2" xfId="0" applyNumberFormat="1" applyFont="1" applyFill="1" applyBorder="1" applyAlignment="1">
      <alignment horizontal="right"/>
    </xf>
    <xf numFmtId="164" fontId="26" fillId="0" borderId="2" xfId="0" applyNumberFormat="1" applyFont="1" applyBorder="1" applyAlignment="1">
      <alignment horizontal="right"/>
    </xf>
    <xf numFmtId="168" fontId="26" fillId="0" borderId="2" xfId="0" applyNumberFormat="1" applyFont="1" applyBorder="1" applyAlignment="1">
      <alignment horizontal="right"/>
    </xf>
    <xf numFmtId="0" fontId="26" fillId="0" borderId="2" xfId="0" applyFont="1" applyBorder="1" applyAlignment="1">
      <alignment horizontal="center"/>
    </xf>
    <xf numFmtId="175" fontId="8" fillId="0" borderId="2" xfId="0" applyNumberFormat="1" applyFont="1" applyBorder="1" applyAlignment="1">
      <alignment horizontal="right"/>
    </xf>
    <xf numFmtId="183" fontId="8" fillId="0" borderId="2" xfId="0" applyNumberFormat="1" applyFont="1" applyBorder="1" applyAlignment="1">
      <alignment horizontal="right"/>
    </xf>
    <xf numFmtId="0" fontId="8" fillId="0" borderId="2" xfId="0" applyFont="1" applyBorder="1" applyAlignment="1">
      <alignment horizontal="center"/>
    </xf>
    <xf numFmtId="183" fontId="35" fillId="0" borderId="0" xfId="0" applyNumberFormat="1" applyFont="1"/>
    <xf numFmtId="166" fontId="26" fillId="0" borderId="8" xfId="0" applyNumberFormat="1" applyFont="1" applyBorder="1" applyAlignment="1">
      <alignment horizontal="right"/>
    </xf>
    <xf numFmtId="166" fontId="25" fillId="4" borderId="2" xfId="0" applyNumberFormat="1" applyFont="1" applyFill="1" applyBorder="1" applyAlignment="1">
      <alignment horizontal="right"/>
    </xf>
    <xf numFmtId="166" fontId="26" fillId="0" borderId="2" xfId="0" applyNumberFormat="1" applyFont="1" applyBorder="1" applyAlignment="1">
      <alignment horizontal="right"/>
    </xf>
    <xf numFmtId="170" fontId="26" fillId="0" borderId="2" xfId="0" applyNumberFormat="1" applyFont="1" applyBorder="1" applyAlignment="1">
      <alignment horizontal="right"/>
    </xf>
    <xf numFmtId="0" fontId="8" fillId="0" borderId="0" xfId="0" applyFont="1"/>
    <xf numFmtId="172" fontId="26" fillId="0" borderId="8" xfId="0" applyNumberFormat="1" applyFont="1" applyBorder="1" applyAlignment="1">
      <alignment horizontal="right"/>
    </xf>
    <xf numFmtId="172" fontId="25" fillId="4" borderId="2" xfId="0" applyNumberFormat="1" applyFont="1" applyFill="1" applyBorder="1" applyAlignment="1">
      <alignment horizontal="right"/>
    </xf>
    <xf numFmtId="172" fontId="26" fillId="0" borderId="2" xfId="0" applyNumberFormat="1" applyFont="1" applyBorder="1" applyAlignment="1">
      <alignment horizontal="right"/>
    </xf>
    <xf numFmtId="173" fontId="26" fillId="0" borderId="2" xfId="0" applyNumberFormat="1" applyFont="1" applyBorder="1" applyAlignment="1">
      <alignment horizontal="right"/>
    </xf>
    <xf numFmtId="175" fontId="26" fillId="0" borderId="8" xfId="0" applyNumberFormat="1" applyFont="1" applyBorder="1" applyAlignment="1">
      <alignment horizontal="right"/>
    </xf>
    <xf numFmtId="175" fontId="25" fillId="4" borderId="2" xfId="0" applyNumberFormat="1" applyFont="1" applyFill="1" applyBorder="1" applyAlignment="1">
      <alignment horizontal="right"/>
    </xf>
    <xf numFmtId="175" fontId="26" fillId="0" borderId="2" xfId="0" applyNumberFormat="1" applyFont="1" applyBorder="1" applyAlignment="1">
      <alignment horizontal="right"/>
    </xf>
    <xf numFmtId="176" fontId="26" fillId="0" borderId="2" xfId="0" applyNumberFormat="1" applyFont="1" applyBorder="1" applyAlignment="1">
      <alignment horizontal="right"/>
    </xf>
    <xf numFmtId="178" fontId="26" fillId="0" borderId="8" xfId="0" applyNumberFormat="1" applyFont="1" applyBorder="1" applyAlignment="1">
      <alignment horizontal="right"/>
    </xf>
    <xf numFmtId="178" fontId="25" fillId="4" borderId="2" xfId="0" applyNumberFormat="1" applyFont="1" applyFill="1" applyBorder="1" applyAlignment="1">
      <alignment horizontal="right"/>
    </xf>
    <xf numFmtId="178" fontId="26" fillId="0" borderId="2" xfId="0" applyNumberFormat="1" applyFont="1" applyBorder="1" applyAlignment="1">
      <alignment horizontal="right"/>
    </xf>
    <xf numFmtId="179" fontId="26" fillId="0" borderId="2" xfId="0" applyNumberFormat="1" applyFont="1" applyBorder="1" applyAlignment="1">
      <alignment horizontal="right"/>
    </xf>
    <xf numFmtId="0" fontId="0" fillId="4" borderId="9" xfId="0" applyFill="1" applyBorder="1"/>
    <xf numFmtId="0" fontId="36" fillId="4" borderId="10" xfId="0" applyFont="1" applyFill="1" applyBorder="1" applyAlignment="1">
      <alignment horizontal="left" vertical="top" wrapText="1" indent="1"/>
    </xf>
    <xf numFmtId="0" fontId="0" fillId="4" borderId="11" xfId="0" applyFill="1" applyBorder="1"/>
    <xf numFmtId="0" fontId="0" fillId="4" borderId="12" xfId="0" applyFill="1" applyBorder="1"/>
    <xf numFmtId="0" fontId="6" fillId="4" borderId="8" xfId="0" applyFont="1" applyFill="1" applyBorder="1" applyAlignment="1">
      <alignment horizontal="left" vertical="top" wrapText="1" indent="1"/>
    </xf>
    <xf numFmtId="0" fontId="0" fillId="4" borderId="13" xfId="0" applyFill="1" applyBorder="1"/>
    <xf numFmtId="0" fontId="9" fillId="0" borderId="0" xfId="0" applyFont="1" applyAlignment="1">
      <alignment horizontal="left" vertical="top" wrapText="1" indent="1"/>
    </xf>
    <xf numFmtId="0" fontId="15" fillId="2" borderId="0" xfId="0" applyFont="1" applyFill="1" applyAlignment="1">
      <alignment horizontal="center" vertical="center" wrapText="1"/>
    </xf>
    <xf numFmtId="0" fontId="5" fillId="0" borderId="2" xfId="0" applyFont="1" applyBorder="1" applyAlignment="1">
      <alignment vertical="center" indent="1"/>
    </xf>
    <xf numFmtId="164" fontId="17" fillId="0" borderId="2" xfId="0" applyNumberFormat="1" applyFont="1" applyBorder="1" applyAlignment="1">
      <alignment horizontal="center" vertical="center"/>
    </xf>
    <xf numFmtId="168" fontId="5" fillId="0" borderId="2" xfId="0" applyNumberFormat="1" applyFont="1" applyBorder="1" applyAlignment="1">
      <alignment horizontal="center" vertical="center"/>
    </xf>
    <xf numFmtId="169" fontId="5" fillId="0" borderId="2" xfId="0" applyNumberFormat="1" applyFont="1" applyBorder="1" applyAlignment="1">
      <alignment horizontal="center" vertical="center"/>
    </xf>
    <xf numFmtId="0" fontId="23" fillId="0" borderId="2" xfId="0" applyFont="1" applyBorder="1" applyAlignment="1">
      <alignment horizontal="center" vertical="center"/>
    </xf>
    <xf numFmtId="166" fontId="17" fillId="0" borderId="2" xfId="0" applyNumberFormat="1" applyFont="1" applyBorder="1" applyAlignment="1">
      <alignment horizontal="center" vertical="center"/>
    </xf>
    <xf numFmtId="170" fontId="5" fillId="0" borderId="2" xfId="0" applyNumberFormat="1" applyFont="1" applyBorder="1" applyAlignment="1">
      <alignment horizontal="center" vertical="center"/>
    </xf>
    <xf numFmtId="171" fontId="5" fillId="0" borderId="2" xfId="0" applyNumberFormat="1" applyFont="1" applyBorder="1" applyAlignment="1">
      <alignment horizontal="center" vertical="center"/>
    </xf>
    <xf numFmtId="172" fontId="17" fillId="0" borderId="2" xfId="0" applyNumberFormat="1" applyFont="1" applyBorder="1" applyAlignment="1">
      <alignment horizontal="center" vertical="center"/>
    </xf>
    <xf numFmtId="173" fontId="5" fillId="0" borderId="2" xfId="0" applyNumberFormat="1" applyFont="1" applyBorder="1" applyAlignment="1">
      <alignment horizontal="center" vertical="center"/>
    </xf>
    <xf numFmtId="174" fontId="5" fillId="0" borderId="2" xfId="0" applyNumberFormat="1" applyFont="1" applyBorder="1" applyAlignment="1">
      <alignment horizontal="center" vertical="center"/>
    </xf>
    <xf numFmtId="175" fontId="17" fillId="0" borderId="2" xfId="0" applyNumberFormat="1" applyFont="1" applyBorder="1" applyAlignment="1">
      <alignment horizontal="center" vertical="center"/>
    </xf>
    <xf numFmtId="176" fontId="5" fillId="0" borderId="2" xfId="0" applyNumberFormat="1" applyFont="1" applyBorder="1" applyAlignment="1">
      <alignment horizontal="center" vertical="center"/>
    </xf>
    <xf numFmtId="177" fontId="5" fillId="0" borderId="2" xfId="0" applyNumberFormat="1" applyFont="1" applyBorder="1" applyAlignment="1">
      <alignment horizontal="center" vertical="center"/>
    </xf>
    <xf numFmtId="178" fontId="17" fillId="0" borderId="2" xfId="0" applyNumberFormat="1" applyFont="1" applyBorder="1" applyAlignment="1">
      <alignment horizontal="center" vertical="center"/>
    </xf>
    <xf numFmtId="179" fontId="5" fillId="0" borderId="2" xfId="0" applyNumberFormat="1" applyFont="1" applyBorder="1" applyAlignment="1">
      <alignment horizontal="center" vertical="center"/>
    </xf>
    <xf numFmtId="180" fontId="5" fillId="0" borderId="2" xfId="0" applyNumberFormat="1" applyFont="1" applyBorder="1" applyAlignment="1">
      <alignment horizontal="center" vertical="center"/>
    </xf>
    <xf numFmtId="0" fontId="9" fillId="0" borderId="0" xfId="0" applyFont="1" applyAlignment="1">
      <alignment vertical="center" wrapText="1"/>
    </xf>
    <xf numFmtId="0" fontId="8" fillId="0" borderId="0" xfId="0" applyFont="1" applyAlignment="1">
      <alignment horizontal="center" vertical="center"/>
    </xf>
    <xf numFmtId="0" fontId="8" fillId="0" borderId="0" xfId="0" applyFont="1" applyAlignment="1">
      <alignment vertical="center" wrapText="1"/>
    </xf>
    <xf numFmtId="0" fontId="29" fillId="4" borderId="0" xfId="0" applyFont="1" applyFill="1" applyAlignment="1">
      <alignment vertical="center" indent="1"/>
    </xf>
    <xf numFmtId="0" fontId="30" fillId="0" borderId="0" xfId="0" applyFont="1" applyAlignment="1">
      <alignment vertical="center" indent="1"/>
    </xf>
    <xf numFmtId="0" fontId="11" fillId="0" borderId="0" xfId="0" applyFont="1" applyAlignment="1">
      <alignment vertical="center"/>
    </xf>
    <xf numFmtId="0" fontId="5" fillId="0" borderId="0" xfId="0" applyFont="1" applyAlignment="1">
      <alignment vertical="center" indent="1"/>
    </xf>
    <xf numFmtId="0" fontId="5" fillId="0" borderId="0" xfId="0" applyFont="1" applyAlignment="1">
      <alignment vertical="center" wrapText="1" indent="1"/>
    </xf>
    <xf numFmtId="0" fontId="31" fillId="0" borderId="0" xfId="0" applyFont="1" applyAlignment="1">
      <alignment vertical="top" wrapText="1"/>
    </xf>
    <xf numFmtId="0" fontId="33" fillId="0" borderId="0" xfId="0" applyFont="1" applyAlignment="1">
      <alignment horizontal="left" vertical="center"/>
    </xf>
    <xf numFmtId="0" fontId="8" fillId="0" borderId="0" xfId="0" applyFont="1" applyAlignment="1">
      <alignment vertical="center" indent="1"/>
    </xf>
    <xf numFmtId="0" fontId="28" fillId="0" borderId="0" xfId="0" applyFont="1" applyAlignment="1">
      <alignment horizontal="center" wrapText="1"/>
    </xf>
    <xf numFmtId="0" fontId="28" fillId="0" borderId="0" xfId="0" applyFont="1" applyAlignment="1">
      <alignment horizontal="center"/>
    </xf>
  </cellXfs>
  <cellStyles count="1">
    <cellStyle name="Normal" xfId="0" builtinId="0"/>
  </cellStyles>
  <dxfs count="17">
    <dxf>
      <font>
        <sz val="11"/>
        <color rgb="FFA32020"/>
        <name val="Calibri"/>
        <charset val="1"/>
      </font>
    </dxf>
    <dxf>
      <font>
        <sz val="11"/>
        <color rgb="FF1E7A45"/>
        <name val="Calibri"/>
        <charset val="1"/>
      </font>
    </dxf>
    <dxf>
      <font>
        <b/>
        <sz val="22"/>
        <color rgb="FFA32020"/>
        <name val="Calibri"/>
        <charset val="1"/>
      </font>
    </dxf>
    <dxf>
      <font>
        <b/>
        <sz val="22"/>
        <color rgb="FF9A5B00"/>
        <name val="Calibri"/>
        <charset val="1"/>
      </font>
    </dxf>
    <dxf>
      <font>
        <b/>
        <sz val="22"/>
        <color rgb="FF23727C"/>
        <name val="Calibri"/>
        <charset val="1"/>
      </font>
    </dxf>
    <dxf>
      <font>
        <b/>
        <sz val="22"/>
        <color rgb="FF1E7A45"/>
        <name val="Calibri"/>
        <charset val="1"/>
      </font>
    </dxf>
    <dxf>
      <font>
        <sz val="11"/>
        <color rgb="FFA32020"/>
        <name val="Calibri"/>
        <charset val="1"/>
      </font>
    </dxf>
    <dxf>
      <font>
        <sz val="11"/>
        <color rgb="FF9A5B00"/>
        <name val="Calibri"/>
        <charset val="1"/>
      </font>
    </dxf>
    <dxf>
      <font>
        <sz val="11"/>
        <color rgb="FF1E7A45"/>
        <name val="Calibri"/>
        <charset val="1"/>
      </font>
    </dxf>
    <dxf>
      <font>
        <b/>
        <sz val="11"/>
        <color rgb="FFA32020"/>
        <name val="Calibri"/>
        <charset val="1"/>
      </font>
    </dxf>
    <dxf>
      <font>
        <b/>
        <sz val="11"/>
        <color rgb="FF1E7A45"/>
        <name val="Calibri"/>
        <charset val="1"/>
      </font>
    </dxf>
    <dxf>
      <font>
        <b/>
        <sz val="10"/>
        <color rgb="FF5A6B76"/>
        <name val="Calibri"/>
        <charset val="1"/>
      </font>
      <fill>
        <patternFill>
          <bgColor rgb="FFF4F6F8"/>
        </patternFill>
      </fill>
    </dxf>
    <dxf>
      <font>
        <b/>
        <sz val="10"/>
        <color rgb="FF5A6B76"/>
        <name val="Calibri"/>
        <charset val="1"/>
      </font>
      <fill>
        <patternFill>
          <bgColor rgb="FFF4F6F8"/>
        </patternFill>
      </fill>
    </dxf>
    <dxf>
      <font>
        <b/>
        <sz val="10"/>
        <color rgb="FF5A6B76"/>
        <name val="Calibri"/>
        <charset val="1"/>
      </font>
      <fill>
        <patternFill>
          <bgColor rgb="FFF4F6F8"/>
        </patternFill>
      </fill>
    </dxf>
    <dxf>
      <font>
        <b/>
        <sz val="10"/>
        <color rgb="FFA32020"/>
        <name val="Calibri"/>
        <charset val="1"/>
      </font>
      <fill>
        <patternFill>
          <bgColor rgb="FFFBE9E9"/>
        </patternFill>
      </fill>
    </dxf>
    <dxf>
      <font>
        <b/>
        <sz val="10"/>
        <color rgb="FF9A5B00"/>
        <name val="Calibri"/>
        <charset val="1"/>
      </font>
      <fill>
        <patternFill>
          <bgColor rgb="FFFDF1DF"/>
        </patternFill>
      </fill>
    </dxf>
    <dxf>
      <font>
        <b/>
        <sz val="10"/>
        <color rgb="FF1E7A45"/>
        <name val="Calibri"/>
        <charset val="1"/>
      </font>
      <fill>
        <patternFill>
          <bgColor rgb="FFE4F2E9"/>
        </patternFill>
      </fill>
    </dxf>
  </dxfs>
  <tableStyles count="0" defaultTableStyle="TableStyleMedium2" defaultPivotStyle="PivotStyleLight16"/>
  <colors>
    <indexedColors>
      <rgbColor rgb="FF000000"/>
      <rgbColor rgb="FFFFFFFF"/>
      <rgbColor rgb="FFFF0000"/>
      <rgbColor rgb="FF00FF00"/>
      <rgbColor rgb="FF0000CC"/>
      <rgbColor rgb="FFFFFF00"/>
      <rgbColor rgb="FFFF00FF"/>
      <rgbColor rgb="FF00FFFF"/>
      <rgbColor rgb="FF800000"/>
      <rgbColor rgb="FF008000"/>
      <rgbColor rgb="FF000080"/>
      <rgbColor rgb="FF9A5B00"/>
      <rgbColor rgb="FF800080"/>
      <rgbColor rgb="FF23727C"/>
      <rgbColor rgb="FFD9D9D9"/>
      <rgbColor rgb="FF878787"/>
      <rgbColor rgb="FF9999FF"/>
      <rgbColor rgb="FF993366"/>
      <rgbColor rgb="FFFDF1DF"/>
      <rgbColor rgb="FFE4F2E9"/>
      <rgbColor rgb="FF660066"/>
      <rgbColor rgb="FFFF8080"/>
      <rgbColor rgb="FF0066CC"/>
      <rgbColor rgb="FFD6DCE1"/>
      <rgbColor rgb="FF000080"/>
      <rgbColor rgb="FFFF00FF"/>
      <rgbColor rgb="FFFFFF00"/>
      <rgbColor rgb="FF00FFFF"/>
      <rgbColor rgb="FF800080"/>
      <rgbColor rgb="FF800000"/>
      <rgbColor rgb="FF1E7A45"/>
      <rgbColor rgb="FF0000FF"/>
      <rgbColor rgb="FF00CCFF"/>
      <rgbColor rgb="FFEAF1F4"/>
      <rgbColor rgb="FFF4F6F8"/>
      <rgbColor rgb="FFFBE9E9"/>
      <rgbColor rgb="FF99CCFF"/>
      <rgbColor rgb="FFFF99CC"/>
      <rgbColor rgb="FFCC99FF"/>
      <rgbColor rgb="FFFFCC99"/>
      <rgbColor rgb="FF3366FF"/>
      <rgbColor rgb="FF33CCCC"/>
      <rgbColor rgb="FF99CC00"/>
      <rgbColor rgb="FFFFCC00"/>
      <rgbColor rgb="FFFF9900"/>
      <rgbColor rgb="FFFF6600"/>
      <rgbColor rgb="FF5A6B76"/>
      <rgbColor rgb="FF969696"/>
      <rgbColor rgb="FF083152"/>
      <rgbColor rgb="FF339966"/>
      <rgbColor rgb="FF003300"/>
      <rgbColor rgb="FF333300"/>
      <rgbColor rgb="FFA32020"/>
      <rgbColor rgb="FF993366"/>
      <rgbColor rgb="FF333399"/>
      <rgbColor rgb="FF1A2A35"/>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lang="en-US" sz="1050" b="1" strike="noStrike" spc="-1">
                <a:solidFill>
                  <a:srgbClr val="083152"/>
                </a:solidFill>
                <a:latin typeface="Calibri"/>
              </a:defRPr>
            </a:pPr>
            <a:r>
              <a:rPr lang="en-US" sz="1050" b="1" strike="noStrike" spc="-1">
                <a:solidFill>
                  <a:srgbClr val="083152"/>
                </a:solidFill>
                <a:latin typeface="Calibri"/>
              </a:rPr>
              <a:t>Monthly Revenue</a:t>
            </a:r>
          </a:p>
        </c:rich>
      </c:tx>
      <c:overlay val="0"/>
      <c:spPr>
        <a:noFill/>
        <a:ln w="0">
          <a:noFill/>
        </a:ln>
      </c:spPr>
    </c:title>
    <c:autoTitleDeleted val="0"/>
    <c:plotArea>
      <c:layout/>
      <c:barChart>
        <c:barDir val="col"/>
        <c:grouping val="clustered"/>
        <c:varyColors val="0"/>
        <c:ser>
          <c:idx val="0"/>
          <c:order val="0"/>
          <c:spPr>
            <a:solidFill>
              <a:srgbClr val="083152"/>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'KPI Data'!$B$7:$M$7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'KPI Data'!$B$9:$M$9</c:f>
              <c:numCache>
                <c:formatCode>\$#,##0;\(\$#,##0\);"-"</c:formatCode>
                <c:ptCount val="12"/>
                <c:pt idx="0">
                  <c:v>92000</c:v>
                </c:pt>
                <c:pt idx="1">
                  <c:v>96000</c:v>
                </c:pt>
                <c:pt idx="2">
                  <c:v>104000</c:v>
                </c:pt>
                <c:pt idx="3">
                  <c:v>99000</c:v>
                </c:pt>
                <c:pt idx="4">
                  <c:v>108000</c:v>
                </c:pt>
                <c:pt idx="5">
                  <c:v>102000</c:v>
                </c:pt>
                <c:pt idx="6">
                  <c:v>88000</c:v>
                </c:pt>
                <c:pt idx="7">
                  <c:v>94000</c:v>
                </c:pt>
                <c:pt idx="8">
                  <c:v>112000</c:v>
                </c:pt>
                <c:pt idx="9">
                  <c:v>118000</c:v>
                </c:pt>
                <c:pt idx="10">
                  <c:v>116000</c:v>
                </c:pt>
                <c:pt idx="11">
                  <c:v>109000</c:v>
                </c:pt>
              </c:numCache>
            </c:numRef>
          </c:val>
          <c:extLst>
            <c:ext xmlns:c16="http://schemas.microsoft.com/office/drawing/2014/chart" uri="{C3380CC4-5D6E-409C-BE32-E72D297353CC}">
              <c16:uniqueId val="{00000000-9115-4766-B47B-50492147E7DE}"/>
            </c:ext>
          </c:extLst>
        </c:ser>
        <c:dLbls>
          <c:showLegendKey val="0"/>
          <c:showVal val="0"/>
          <c:showCatName val="0"/>
          <c:showSerName val="0"/>
          <c:showPercent val="0"/>
          <c:showBubbleSize val="0"/>
        </c:dLbls>
        <c:gapWidth val="45"/>
        <c:axId val="82149355"/>
        <c:axId val="3771912"/>
      </c:barChart>
      <c:catAx>
        <c:axId val="82149355"/>
        <c:scaling>
          <c:orientation val="minMax"/>
        </c:scaling>
        <c:delete val="0"/>
        <c:axPos val="b"/>
        <c:numFmt formatCode="General" sourceLinked="0"/>
        <c:majorTickMark val="none"/>
        <c:minorTickMark val="none"/>
        <c:tickLblPos val="nextTo"/>
        <c:spPr>
          <a:ln w="9360">
            <a:solidFill>
              <a:srgbClr val="878787"/>
            </a:solidFill>
            <a:round/>
          </a:ln>
        </c:spPr>
        <c:txPr>
          <a:bodyPr/>
          <a:lstStyle/>
          <a:p>
            <a:pPr>
              <a:defRPr sz="800" b="0" strike="noStrike" spc="-1">
                <a:solidFill>
                  <a:srgbClr val="5A6B76"/>
                </a:solidFill>
                <a:latin typeface="Calibri"/>
              </a:defRPr>
            </a:pPr>
            <a:endParaRPr lang="en-US"/>
          </a:p>
        </c:txPr>
        <c:crossAx val="3771912"/>
        <c:crosses val="autoZero"/>
        <c:auto val="1"/>
        <c:lblAlgn val="ctr"/>
        <c:lblOffset val="100"/>
        <c:tickLblSkip val="1"/>
        <c:tickMarkSkip val="1"/>
        <c:noMultiLvlLbl val="0"/>
      </c:catAx>
      <c:valAx>
        <c:axId val="3771912"/>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sz="800" b="0" strike="noStrike" spc="-1">
                <a:solidFill>
                  <a:srgbClr val="5A6B76"/>
                </a:solidFill>
                <a:latin typeface="Calibri"/>
              </a:defRPr>
            </a:pPr>
            <a:endParaRPr lang="en-US"/>
          </a:p>
        </c:txPr>
        <c:crossAx val="82149355"/>
        <c:crosses val="autoZero"/>
        <c:crossBetween val="between"/>
      </c:valAx>
      <c:spPr>
        <a:noFill/>
        <a:ln w="0">
          <a:noFill/>
        </a:ln>
      </c:spPr>
    </c:plotArea>
    <c:plotVisOnly val="0"/>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lang="en-US" sz="1050" b="1" strike="noStrike" spc="-1">
                <a:solidFill>
                  <a:srgbClr val="083152"/>
                </a:solidFill>
                <a:latin typeface="Calibri"/>
              </a:defRPr>
            </a:pPr>
            <a:r>
              <a:rPr lang="en-US" sz="1050" b="1" strike="noStrike" spc="-1">
                <a:solidFill>
                  <a:srgbClr val="083152"/>
                </a:solidFill>
                <a:latin typeface="Calibri"/>
              </a:rPr>
              <a:t>Net Profit</a:t>
            </a:r>
          </a:p>
        </c:rich>
      </c:tx>
      <c:overlay val="0"/>
      <c:spPr>
        <a:noFill/>
        <a:ln w="0">
          <a:noFill/>
        </a:ln>
      </c:spPr>
    </c:title>
    <c:autoTitleDeleted val="0"/>
    <c:plotArea>
      <c:layout/>
      <c:barChart>
        <c:barDir val="col"/>
        <c:grouping val="clustered"/>
        <c:varyColors val="0"/>
        <c:ser>
          <c:idx val="0"/>
          <c:order val="0"/>
          <c:spPr>
            <a:solidFill>
              <a:srgbClr val="23727C"/>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'KPI Data'!$B$7:$M$7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'KPI Data'!$B$10:$M$10</c:f>
              <c:numCache>
                <c:formatCode>\$#,##0;\(\$#,##0\);"-"</c:formatCode>
                <c:ptCount val="12"/>
                <c:pt idx="0">
                  <c:v>27020</c:v>
                </c:pt>
                <c:pt idx="1">
                  <c:v>28390</c:v>
                </c:pt>
                <c:pt idx="2">
                  <c:v>33660</c:v>
                </c:pt>
                <c:pt idx="3">
                  <c:v>30730</c:v>
                </c:pt>
                <c:pt idx="4">
                  <c:v>33960</c:v>
                </c:pt>
                <c:pt idx="5">
                  <c:v>32840</c:v>
                </c:pt>
                <c:pt idx="6">
                  <c:v>25060</c:v>
                </c:pt>
                <c:pt idx="7">
                  <c:v>26640</c:v>
                </c:pt>
                <c:pt idx="8">
                  <c:v>35170</c:v>
                </c:pt>
                <c:pt idx="9">
                  <c:v>38810</c:v>
                </c:pt>
                <c:pt idx="10">
                  <c:v>38140</c:v>
                </c:pt>
                <c:pt idx="11">
                  <c:v>33910</c:v>
                </c:pt>
              </c:numCache>
            </c:numRef>
          </c:val>
          <c:extLst>
            <c:ext xmlns:c16="http://schemas.microsoft.com/office/drawing/2014/chart" uri="{C3380CC4-5D6E-409C-BE32-E72D297353CC}">
              <c16:uniqueId val="{00000000-4B93-4AC8-9233-22814BEDF0AA}"/>
            </c:ext>
          </c:extLst>
        </c:ser>
        <c:dLbls>
          <c:showLegendKey val="0"/>
          <c:showVal val="0"/>
          <c:showCatName val="0"/>
          <c:showSerName val="0"/>
          <c:showPercent val="0"/>
          <c:showBubbleSize val="0"/>
        </c:dLbls>
        <c:gapWidth val="45"/>
        <c:axId val="71897117"/>
        <c:axId val="24436017"/>
      </c:barChart>
      <c:catAx>
        <c:axId val="71897117"/>
        <c:scaling>
          <c:orientation val="minMax"/>
        </c:scaling>
        <c:delete val="0"/>
        <c:axPos val="b"/>
        <c:numFmt formatCode="General" sourceLinked="0"/>
        <c:majorTickMark val="none"/>
        <c:minorTickMark val="none"/>
        <c:tickLblPos val="nextTo"/>
        <c:spPr>
          <a:ln w="9360">
            <a:solidFill>
              <a:srgbClr val="878787"/>
            </a:solidFill>
            <a:round/>
          </a:ln>
        </c:spPr>
        <c:txPr>
          <a:bodyPr/>
          <a:lstStyle/>
          <a:p>
            <a:pPr>
              <a:defRPr sz="800" b="0" strike="noStrike" spc="-1">
                <a:solidFill>
                  <a:srgbClr val="5A6B76"/>
                </a:solidFill>
                <a:latin typeface="Calibri"/>
              </a:defRPr>
            </a:pPr>
            <a:endParaRPr lang="en-US"/>
          </a:p>
        </c:txPr>
        <c:crossAx val="24436017"/>
        <c:crosses val="autoZero"/>
        <c:auto val="1"/>
        <c:lblAlgn val="ctr"/>
        <c:lblOffset val="100"/>
        <c:tickLblSkip val="1"/>
        <c:tickMarkSkip val="1"/>
        <c:noMultiLvlLbl val="0"/>
      </c:catAx>
      <c:valAx>
        <c:axId val="24436017"/>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sz="800" b="0" strike="noStrike" spc="-1">
                <a:solidFill>
                  <a:srgbClr val="5A6B76"/>
                </a:solidFill>
                <a:latin typeface="Calibri"/>
              </a:defRPr>
            </a:pPr>
            <a:endParaRPr lang="en-US"/>
          </a:p>
        </c:txPr>
        <c:crossAx val="71897117"/>
        <c:crosses val="autoZero"/>
        <c:crossBetween val="between"/>
      </c:valAx>
      <c:spPr>
        <a:noFill/>
        <a:ln w="0">
          <a:noFill/>
        </a:ln>
      </c:spPr>
    </c:plotArea>
    <c:plotVisOnly val="0"/>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lang="en-US" sz="1050" b="1" strike="noStrike" spc="-1">
                <a:solidFill>
                  <a:srgbClr val="083152"/>
                </a:solidFill>
                <a:latin typeface="Calibri"/>
              </a:defRPr>
            </a:pPr>
            <a:r>
              <a:rPr lang="en-US" sz="1050" b="1" strike="noStrike" spc="-1">
                <a:solidFill>
                  <a:srgbClr val="083152"/>
                </a:solidFill>
                <a:latin typeface="Calibri"/>
              </a:rPr>
              <a:t>Cash Runway (months)</a:t>
            </a:r>
          </a:p>
        </c:rich>
      </c:tx>
      <c:overlay val="0"/>
      <c:spPr>
        <a:noFill/>
        <a:ln w="0">
          <a:noFill/>
        </a:ln>
      </c:spPr>
    </c:title>
    <c:autoTitleDeleted val="0"/>
    <c:plotArea>
      <c:layout/>
      <c:lineChart>
        <c:grouping val="standard"/>
        <c:varyColors val="0"/>
        <c:ser>
          <c:idx val="0"/>
          <c:order val="0"/>
          <c:spPr>
            <a:ln w="24840">
              <a:solidFill>
                <a:srgbClr val="23727C"/>
              </a:solidFill>
              <a:round/>
            </a:ln>
          </c:spPr>
          <c:marker>
            <c:symbol val="circle"/>
            <c:size val="5"/>
            <c:spPr>
              <a:solidFill>
                <a:srgbClr val="23727C"/>
              </a:solidFill>
            </c:spPr>
          </c:marker>
          <c:dLbls>
            <c:spPr>
              <a:noFill/>
              <a:ln>
                <a:noFill/>
              </a:ln>
              <a:effectLst/>
            </c:spPr>
            <c:txPr>
              <a:bodyPr wrap="square"/>
              <a:lstStyle/>
              <a:p>
                <a:pPr>
                  <a:defRPr sz="1000" b="0" strike="noStrike" spc="-1">
                    <a:solidFill>
                      <a:srgbClr val="000000"/>
                    </a:solidFill>
                    <a:latin typeface="Arial"/>
                  </a:defRPr>
                </a:pPr>
                <a:endParaRPr lang="en-US"/>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'KPI Data'!$B$7:$M$7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'KPI Data'!$B$17:$M$17</c:f>
              <c:numCache>
                <c:formatCode>0.0;\(0.0\);\-</c:formatCode>
                <c:ptCount val="12"/>
                <c:pt idx="0">
                  <c:v>2.0200051961548455</c:v>
                </c:pt>
                <c:pt idx="1">
                  <c:v>2.0713478206255496</c:v>
                </c:pt>
                <c:pt idx="2">
                  <c:v>2.13262084041778</c:v>
                </c:pt>
                <c:pt idx="3">
                  <c:v>2.3146879282421828</c:v>
                </c:pt>
                <c:pt idx="4">
                  <c:v>2.2756857275685727</c:v>
                </c:pt>
                <c:pt idx="5">
                  <c:v>2.5763923114834895</c:v>
                </c:pt>
                <c:pt idx="6">
                  <c:v>2.8849746463837738</c:v>
                </c:pt>
                <c:pt idx="7">
                  <c:v>2.794858870967742</c:v>
                </c:pt>
                <c:pt idx="8">
                  <c:v>2.5266982274578882</c:v>
                </c:pt>
                <c:pt idx="9">
                  <c:v>2.6429874450048287</c:v>
                </c:pt>
                <c:pt idx="10">
                  <c:v>2.86740692357936</c:v>
                </c:pt>
                <c:pt idx="11">
                  <c:v>3.0620720619598161</c:v>
                </c:pt>
              </c:numCache>
            </c:numRef>
          </c:val>
          <c:smooth val="0"/>
          <c:extLst>
            <c:ext xmlns:c16="http://schemas.microsoft.com/office/drawing/2014/chart" uri="{C3380CC4-5D6E-409C-BE32-E72D297353CC}">
              <c16:uniqueId val="{00000000-7EAB-441B-9400-2C934BC22756}"/>
            </c:ext>
          </c:extLst>
        </c:ser>
        <c:dLbls>
          <c:showLegendKey val="0"/>
          <c:showVal val="0"/>
          <c:showCatName val="0"/>
          <c:showSerName val="0"/>
          <c:showPercent val="0"/>
          <c:showBubbleSize val="0"/>
        </c:dLbls>
        <c:hiLowLines>
          <c:spPr>
            <a:ln w="0">
              <a:noFill/>
            </a:ln>
          </c:spPr>
        </c:hiLowLines>
        <c:marker val="1"/>
        <c:smooth val="0"/>
        <c:axId val="15345175"/>
        <c:axId val="45373318"/>
      </c:lineChart>
      <c:catAx>
        <c:axId val="15345175"/>
        <c:scaling>
          <c:orientation val="minMax"/>
        </c:scaling>
        <c:delete val="0"/>
        <c:axPos val="b"/>
        <c:numFmt formatCode="General" sourceLinked="0"/>
        <c:majorTickMark val="none"/>
        <c:minorTickMark val="none"/>
        <c:tickLblPos val="nextTo"/>
        <c:spPr>
          <a:ln w="9360">
            <a:solidFill>
              <a:srgbClr val="878787"/>
            </a:solidFill>
            <a:round/>
          </a:ln>
        </c:spPr>
        <c:txPr>
          <a:bodyPr/>
          <a:lstStyle/>
          <a:p>
            <a:pPr>
              <a:defRPr sz="800" b="0" strike="noStrike" spc="-1">
                <a:solidFill>
                  <a:srgbClr val="5A6B76"/>
                </a:solidFill>
                <a:latin typeface="Calibri"/>
              </a:defRPr>
            </a:pPr>
            <a:endParaRPr lang="en-US"/>
          </a:p>
        </c:txPr>
        <c:crossAx val="45373318"/>
        <c:crosses val="autoZero"/>
        <c:auto val="1"/>
        <c:lblAlgn val="ctr"/>
        <c:lblOffset val="100"/>
        <c:tickLblSkip val="1"/>
        <c:tickMarkSkip val="1"/>
        <c:noMultiLvlLbl val="0"/>
      </c:catAx>
      <c:valAx>
        <c:axId val="45373318"/>
        <c:scaling>
          <c:orientation val="minMax"/>
        </c:scaling>
        <c:delete val="0"/>
        <c:axPos val="l"/>
        <c:majorGridlines>
          <c:spPr>
            <a:ln w="9360">
              <a:solidFill>
                <a:srgbClr val="878787"/>
              </a:solidFill>
              <a:round/>
            </a:ln>
          </c:spPr>
        </c:majorGridlines>
        <c:numFmt formatCode="0.0" sourceLinked="0"/>
        <c:majorTickMark val="none"/>
        <c:minorTickMark val="none"/>
        <c:tickLblPos val="nextTo"/>
        <c:spPr>
          <a:ln w="9360">
            <a:solidFill>
              <a:srgbClr val="878787"/>
            </a:solidFill>
            <a:round/>
          </a:ln>
        </c:spPr>
        <c:txPr>
          <a:bodyPr/>
          <a:lstStyle/>
          <a:p>
            <a:pPr>
              <a:defRPr sz="800" b="0" strike="noStrike" spc="-1">
                <a:solidFill>
                  <a:srgbClr val="5A6B76"/>
                </a:solidFill>
                <a:latin typeface="Calibri"/>
              </a:defRPr>
            </a:pPr>
            <a:endParaRPr lang="en-US"/>
          </a:p>
        </c:txPr>
        <c:crossAx val="15345175"/>
        <c:crosses val="autoZero"/>
        <c:crossBetween val="between"/>
      </c:valAx>
      <c:spPr>
        <a:noFill/>
        <a:ln w="0">
          <a:noFill/>
        </a:ln>
      </c:spPr>
    </c:plotArea>
    <c:plotVisOnly val="0"/>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lang="en-US" sz="1050" b="1" strike="noStrike" spc="-1">
                <a:solidFill>
                  <a:srgbClr val="083152"/>
                </a:solidFill>
                <a:latin typeface="Calibri"/>
              </a:defRPr>
            </a:pPr>
            <a:r>
              <a:rPr lang="en-US" sz="1050" b="1" strike="noStrike" spc="-1">
                <a:solidFill>
                  <a:srgbClr val="083152"/>
                </a:solidFill>
                <a:latin typeface="Calibri"/>
              </a:rPr>
              <a:t>Booking Utilization %</a:t>
            </a:r>
          </a:p>
        </c:rich>
      </c:tx>
      <c:overlay val="0"/>
      <c:spPr>
        <a:noFill/>
        <a:ln w="0">
          <a:noFill/>
        </a:ln>
      </c:spPr>
    </c:title>
    <c:autoTitleDeleted val="0"/>
    <c:plotArea>
      <c:layout/>
      <c:lineChart>
        <c:grouping val="standard"/>
        <c:varyColors val="0"/>
        <c:ser>
          <c:idx val="0"/>
          <c:order val="0"/>
          <c:spPr>
            <a:ln w="24840">
              <a:solidFill>
                <a:srgbClr val="083152"/>
              </a:solidFill>
              <a:round/>
            </a:ln>
          </c:spPr>
          <c:marker>
            <c:symbol val="circle"/>
            <c:size val="5"/>
            <c:spPr>
              <a:solidFill>
                <a:srgbClr val="083152"/>
              </a:solidFill>
            </c:spPr>
          </c:marker>
          <c:dLbls>
            <c:spPr>
              <a:noFill/>
              <a:ln>
                <a:noFill/>
              </a:ln>
              <a:effectLst/>
            </c:spPr>
            <c:txPr>
              <a:bodyPr wrap="square"/>
              <a:lstStyle/>
              <a:p>
                <a:pPr>
                  <a:defRPr sz="1000" b="0" strike="noStrike" spc="-1">
                    <a:solidFill>
                      <a:srgbClr val="000000"/>
                    </a:solidFill>
                    <a:latin typeface="Arial"/>
                  </a:defRPr>
                </a:pPr>
                <a:endParaRPr lang="en-US"/>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0"/>
              </c:ext>
            </c:extLst>
          </c:dLbls>
          <c:cat>
            <c:strRef>
              <c:f>'KPI Data'!$B$7:$M$7</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'KPI Data'!$B$28:$M$28</c:f>
              <c:numCache>
                <c:formatCode>0.0%;\(0.0%\);\-</c:formatCode>
                <c:ptCount val="12"/>
                <c:pt idx="0">
                  <c:v>0.81557377049180324</c:v>
                </c:pt>
                <c:pt idx="1">
                  <c:v>0.82857142857142863</c:v>
                </c:pt>
                <c:pt idx="2">
                  <c:v>0.85660377358490569</c:v>
                </c:pt>
                <c:pt idx="3">
                  <c:v>0.8214285714285714</c:v>
                </c:pt>
                <c:pt idx="4">
                  <c:v>0.86496350364963503</c:v>
                </c:pt>
                <c:pt idx="5">
                  <c:v>0.84108527131782951</c:v>
                </c:pt>
                <c:pt idx="6">
                  <c:v>0.77446808510638299</c:v>
                </c:pt>
                <c:pt idx="7">
                  <c:v>0.80555555555555558</c:v>
                </c:pt>
                <c:pt idx="8">
                  <c:v>0.87368421052631584</c:v>
                </c:pt>
                <c:pt idx="9">
                  <c:v>0.85862068965517246</c:v>
                </c:pt>
                <c:pt idx="10">
                  <c:v>0.8108974358974359</c:v>
                </c:pt>
                <c:pt idx="11">
                  <c:v>0.77852348993288589</c:v>
                </c:pt>
              </c:numCache>
            </c:numRef>
          </c:val>
          <c:smooth val="0"/>
          <c:extLst>
            <c:ext xmlns:c16="http://schemas.microsoft.com/office/drawing/2014/chart" uri="{C3380CC4-5D6E-409C-BE32-E72D297353CC}">
              <c16:uniqueId val="{00000000-0E90-44AF-907E-665F6EAB2EAF}"/>
            </c:ext>
          </c:extLst>
        </c:ser>
        <c:dLbls>
          <c:showLegendKey val="0"/>
          <c:showVal val="0"/>
          <c:showCatName val="0"/>
          <c:showSerName val="0"/>
          <c:showPercent val="0"/>
          <c:showBubbleSize val="0"/>
        </c:dLbls>
        <c:hiLowLines>
          <c:spPr>
            <a:ln w="0">
              <a:noFill/>
            </a:ln>
          </c:spPr>
        </c:hiLowLines>
        <c:marker val="1"/>
        <c:smooth val="0"/>
        <c:axId val="96987975"/>
        <c:axId val="46482988"/>
      </c:lineChart>
      <c:catAx>
        <c:axId val="96987975"/>
        <c:scaling>
          <c:orientation val="minMax"/>
        </c:scaling>
        <c:delete val="0"/>
        <c:axPos val="b"/>
        <c:numFmt formatCode="General" sourceLinked="0"/>
        <c:majorTickMark val="none"/>
        <c:minorTickMark val="none"/>
        <c:tickLblPos val="nextTo"/>
        <c:spPr>
          <a:ln w="9360">
            <a:solidFill>
              <a:srgbClr val="878787"/>
            </a:solidFill>
            <a:round/>
          </a:ln>
        </c:spPr>
        <c:txPr>
          <a:bodyPr/>
          <a:lstStyle/>
          <a:p>
            <a:pPr>
              <a:defRPr sz="800" b="0" strike="noStrike" spc="-1">
                <a:solidFill>
                  <a:srgbClr val="5A6B76"/>
                </a:solidFill>
                <a:latin typeface="Calibri"/>
              </a:defRPr>
            </a:pPr>
            <a:endParaRPr lang="en-US"/>
          </a:p>
        </c:txPr>
        <c:crossAx val="46482988"/>
        <c:crosses val="autoZero"/>
        <c:auto val="1"/>
        <c:lblAlgn val="ctr"/>
        <c:lblOffset val="100"/>
        <c:tickLblSkip val="1"/>
        <c:tickMarkSkip val="1"/>
        <c:noMultiLvlLbl val="0"/>
      </c:catAx>
      <c:valAx>
        <c:axId val="46482988"/>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sz="800" b="0" strike="noStrike" spc="-1">
                <a:solidFill>
                  <a:srgbClr val="5A6B76"/>
                </a:solidFill>
                <a:latin typeface="Calibri"/>
              </a:defRPr>
            </a:pPr>
            <a:endParaRPr lang="en-US"/>
          </a:p>
        </c:txPr>
        <c:crossAx val="96987975"/>
        <c:crosses val="autoZero"/>
        <c:crossBetween val="between"/>
      </c:valAx>
      <c:spPr>
        <a:noFill/>
        <a:ln w="0">
          <a:noFill/>
        </a:ln>
      </c:spPr>
    </c:plotArea>
    <c:plotVisOnly val="0"/>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45</xdr:row>
      <xdr:rowOff>0</xdr:rowOff>
    </xdr:from>
    <xdr:to>
      <xdr:col>9</xdr:col>
      <xdr:colOff>215280</xdr:colOff>
      <xdr:row>57</xdr:row>
      <xdr:rowOff>77760</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10</xdr:col>
      <xdr:colOff>0</xdr:colOff>
      <xdr:row>45</xdr:row>
      <xdr:rowOff>0</xdr:rowOff>
    </xdr:from>
    <xdr:to>
      <xdr:col>17</xdr:col>
      <xdr:colOff>730080</xdr:colOff>
      <xdr:row>57</xdr:row>
      <xdr:rowOff>77760</xdr:rowOff>
    </xdr:to>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0</xdr:colOff>
      <xdr:row>61</xdr:row>
      <xdr:rowOff>0</xdr:rowOff>
    </xdr:from>
    <xdr:to>
      <xdr:col>9</xdr:col>
      <xdr:colOff>215280</xdr:colOff>
      <xdr:row>73</xdr:row>
      <xdr:rowOff>77760</xdr:rowOff>
    </xdr:to>
    <xdr:graphicFrame macro="">
      <xdr:nvGraphicFramePr>
        <xdr:cNvPr id="4" name="Chart 3">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10</xdr:col>
      <xdr:colOff>0</xdr:colOff>
      <xdr:row>61</xdr:row>
      <xdr:rowOff>0</xdr:rowOff>
    </xdr:from>
    <xdr:to>
      <xdr:col>17</xdr:col>
      <xdr:colOff>730080</xdr:colOff>
      <xdr:row>73</xdr:row>
      <xdr:rowOff>77760</xdr:rowOff>
    </xdr:to>
    <xdr:graphicFrame macro="">
      <xdr:nvGraphicFramePr>
        <xdr:cNvPr id="5" name="Chart 4">
          <a:extLst>
            <a:ext uri="{FF2B5EF4-FFF2-40B4-BE49-F238E27FC236}">
              <a16:creationId xmlns:a16="http://schemas.microsoft.com/office/drawing/2014/main" id="{00000000-0008-0000-02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pageSetUpPr fitToPage="1"/>
  </sheetPr>
  <dimension ref="A1:C30"/>
  <sheetViews>
    <sheetView showGridLines="0" tabSelected="1" zoomScaleNormal="100" workbookViewId="0">
      <selection activeCell="G16" sqref="G16"/>
    </sheetView>
  </sheetViews>
  <sheetFormatPr defaultColWidth="8.6328125" defaultRowHeight="14.5" x14ac:dyDescent="0.35"/>
  <cols>
    <col min="1" max="1" width="2.453125" customWidth="1"/>
    <col min="2" max="2" width="92" customWidth="1"/>
    <col min="3" max="3" width="2.453125" customWidth="1"/>
  </cols>
  <sheetData>
    <row r="1" spans="1:3" ht="36" customHeight="1" x14ac:dyDescent="0.35">
      <c r="A1" s="9" t="s">
        <v>0</v>
      </c>
      <c r="B1" s="9"/>
      <c r="C1" s="9"/>
    </row>
    <row r="2" spans="1:3" ht="24" customHeight="1" x14ac:dyDescent="0.35">
      <c r="A2" s="13" t="s">
        <v>1</v>
      </c>
      <c r="B2" s="13"/>
      <c r="C2" s="13"/>
    </row>
    <row r="4" spans="1:3" ht="33.75" customHeight="1" x14ac:dyDescent="0.35">
      <c r="B4" s="15" t="s">
        <v>2</v>
      </c>
    </row>
    <row r="5" spans="1:3" ht="25.5" customHeight="1" x14ac:dyDescent="0.35">
      <c r="B5" s="16" t="s">
        <v>3</v>
      </c>
    </row>
    <row r="7" spans="1:3" ht="36.75" customHeight="1" x14ac:dyDescent="0.35">
      <c r="B7" s="17" t="s">
        <v>4</v>
      </c>
    </row>
    <row r="9" spans="1:3" ht="52.5" customHeight="1" x14ac:dyDescent="0.35">
      <c r="B9" s="17" t="s">
        <v>5</v>
      </c>
    </row>
    <row r="11" spans="1:3" ht="24" customHeight="1" x14ac:dyDescent="0.35">
      <c r="B11" s="18" t="s">
        <v>6</v>
      </c>
    </row>
    <row r="12" spans="1:3" ht="36.75" customHeight="1" x14ac:dyDescent="0.35">
      <c r="B12" s="19" t="s">
        <v>7</v>
      </c>
    </row>
    <row r="13" spans="1:3" ht="36.75" customHeight="1" x14ac:dyDescent="0.35">
      <c r="B13" s="19" t="s">
        <v>8</v>
      </c>
    </row>
    <row r="14" spans="1:3" ht="36.75" customHeight="1" x14ac:dyDescent="0.35">
      <c r="B14" s="19" t="s">
        <v>9</v>
      </c>
    </row>
    <row r="15" spans="1:3" ht="36.75" customHeight="1" x14ac:dyDescent="0.35">
      <c r="B15" s="19" t="s">
        <v>10</v>
      </c>
    </row>
    <row r="16" spans="1:3" ht="36.75" customHeight="1" x14ac:dyDescent="0.35">
      <c r="B16" s="19" t="s">
        <v>11</v>
      </c>
    </row>
    <row r="18" spans="1:3" ht="52.5" customHeight="1" x14ac:dyDescent="0.35">
      <c r="A18" s="20"/>
      <c r="B18" s="21" t="s">
        <v>12</v>
      </c>
      <c r="C18" s="20"/>
    </row>
    <row r="20" spans="1:3" ht="19.5" customHeight="1" x14ac:dyDescent="0.35">
      <c r="B20" s="22" t="s">
        <v>13</v>
      </c>
    </row>
    <row r="21" spans="1:3" ht="79.5" customHeight="1" x14ac:dyDescent="0.35">
      <c r="B21" s="23" t="s">
        <v>14</v>
      </c>
    </row>
    <row r="23" spans="1:3" ht="19.5" customHeight="1" x14ac:dyDescent="0.35">
      <c r="B23" s="22" t="s">
        <v>15</v>
      </c>
    </row>
    <row r="24" spans="1:3" ht="34.5" customHeight="1" x14ac:dyDescent="0.35">
      <c r="A24" s="20"/>
      <c r="B24" s="24" t="s">
        <v>16</v>
      </c>
      <c r="C24" s="20"/>
    </row>
    <row r="26" spans="1:3" ht="14.25" customHeight="1" x14ac:dyDescent="0.35">
      <c r="A26" s="25"/>
      <c r="B26" s="25"/>
      <c r="C26" s="25"/>
    </row>
    <row r="27" spans="1:3" ht="21.75" customHeight="1" x14ac:dyDescent="0.35">
      <c r="B27" s="26" t="s">
        <v>17</v>
      </c>
    </row>
    <row r="28" spans="1:3" ht="21" customHeight="1" x14ac:dyDescent="0.35">
      <c r="B28" s="27" t="s">
        <v>18</v>
      </c>
    </row>
    <row r="29" spans="1:3" ht="21" customHeight="1" x14ac:dyDescent="0.35">
      <c r="B29" s="28" t="s">
        <v>19</v>
      </c>
    </row>
    <row r="30" spans="1:3" ht="21" customHeight="1" x14ac:dyDescent="0.35">
      <c r="B30" s="28" t="s">
        <v>20</v>
      </c>
    </row>
  </sheetData>
  <sheetProtection sheet="1"/>
  <mergeCells count="2">
    <mergeCell ref="A1:C1"/>
    <mergeCell ref="A2:C2"/>
  </mergeCells>
  <pageMargins left="0.5" right="0.5" top="0.5" bottom="0.5" header="0.511811023622047" footer="0.511811023622047"/>
  <pageSetup fitToHeight="0" orientation="portrait" horizontalDpi="300" verticalDpi="30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41"/>
  <sheetViews>
    <sheetView showGridLines="0" zoomScaleNormal="100" workbookViewId="0">
      <pane xSplit="1" ySplit="7" topLeftCell="B8" activePane="bottomRight" state="frozen"/>
      <selection pane="topRight" activeCell="B1" sqref="B1"/>
      <selection pane="bottomLeft" activeCell="A11" sqref="A11"/>
      <selection pane="bottomRight" activeCell="A52" sqref="A52"/>
    </sheetView>
  </sheetViews>
  <sheetFormatPr defaultColWidth="8.6328125" defaultRowHeight="14.5" x14ac:dyDescent="0.35"/>
  <cols>
    <col min="1" max="1" width="36" customWidth="1"/>
    <col min="2" max="13" width="11.453125" customWidth="1"/>
  </cols>
  <sheetData>
    <row r="1" spans="1:13" ht="31.5" customHeight="1" x14ac:dyDescent="0.35">
      <c r="A1" s="14" t="s">
        <v>0</v>
      </c>
      <c r="B1" s="14"/>
      <c r="C1" s="14"/>
      <c r="D1" s="14"/>
      <c r="E1" s="14"/>
      <c r="F1" s="14"/>
      <c r="G1" s="14"/>
      <c r="H1" s="14"/>
      <c r="I1" s="14"/>
      <c r="J1" s="14"/>
      <c r="K1" s="14"/>
      <c r="L1" s="14"/>
      <c r="M1" s="14"/>
    </row>
    <row r="2" spans="1:13" ht="24" customHeight="1" x14ac:dyDescent="0.35">
      <c r="A2" s="13" t="s">
        <v>21</v>
      </c>
      <c r="B2" s="13"/>
      <c r="C2" s="13"/>
      <c r="D2" s="13"/>
      <c r="E2" s="13"/>
      <c r="F2" s="13"/>
      <c r="G2" s="13"/>
      <c r="H2" s="13"/>
      <c r="I2" s="13"/>
      <c r="J2" s="13"/>
      <c r="K2" s="13"/>
      <c r="L2" s="13"/>
      <c r="M2" s="13"/>
    </row>
    <row r="4" spans="1:13" ht="31.5" customHeight="1" x14ac:dyDescent="0.35">
      <c r="A4" s="12" t="s">
        <v>22</v>
      </c>
      <c r="B4" s="12"/>
      <c r="C4" s="12"/>
      <c r="D4" s="12"/>
      <c r="E4" s="12"/>
      <c r="F4" s="12"/>
      <c r="G4" s="12"/>
      <c r="H4" s="12"/>
      <c r="I4" s="12"/>
      <c r="J4" s="12"/>
      <c r="K4" s="12"/>
      <c r="L4" s="12"/>
      <c r="M4" s="12"/>
    </row>
    <row r="5" spans="1:13" ht="18" customHeight="1" x14ac:dyDescent="0.35">
      <c r="A5" s="29" t="s">
        <v>23</v>
      </c>
      <c r="B5" s="30" t="s">
        <v>24</v>
      </c>
    </row>
    <row r="7" spans="1:13" ht="25.5" customHeight="1" x14ac:dyDescent="0.35">
      <c r="A7" s="31" t="s">
        <v>25</v>
      </c>
      <c r="B7" s="32" t="s">
        <v>26</v>
      </c>
      <c r="C7" s="32" t="s">
        <v>27</v>
      </c>
      <c r="D7" s="32" t="s">
        <v>28</v>
      </c>
      <c r="E7" s="32" t="s">
        <v>29</v>
      </c>
      <c r="F7" s="32" t="s">
        <v>30</v>
      </c>
      <c r="G7" s="32" t="s">
        <v>31</v>
      </c>
      <c r="H7" s="32" t="s">
        <v>32</v>
      </c>
      <c r="I7" s="32" t="s">
        <v>33</v>
      </c>
      <c r="J7" s="32" t="s">
        <v>34</v>
      </c>
      <c r="K7" s="32" t="s">
        <v>35</v>
      </c>
      <c r="L7" s="32" t="s">
        <v>36</v>
      </c>
      <c r="M7" s="32" t="s">
        <v>37</v>
      </c>
    </row>
    <row r="8" spans="1:13" ht="19.5" customHeight="1" x14ac:dyDescent="0.35">
      <c r="A8" s="11" t="s">
        <v>38</v>
      </c>
      <c r="B8" s="11"/>
      <c r="C8" s="11"/>
      <c r="D8" s="11"/>
      <c r="E8" s="11"/>
      <c r="F8" s="11"/>
      <c r="G8" s="11"/>
      <c r="H8" s="11"/>
      <c r="I8" s="11"/>
      <c r="J8" s="11"/>
      <c r="K8" s="11"/>
      <c r="L8" s="11"/>
      <c r="M8" s="11"/>
    </row>
    <row r="9" spans="1:13" ht="15.75" customHeight="1" x14ac:dyDescent="0.35">
      <c r="A9" s="34" t="s">
        <v>39</v>
      </c>
      <c r="B9" s="35">
        <f t="shared" ref="B9:M9" si="0">SUM(B10:B12)</f>
        <v>92000</v>
      </c>
      <c r="C9" s="35">
        <f t="shared" si="0"/>
        <v>96000</v>
      </c>
      <c r="D9" s="35">
        <f t="shared" si="0"/>
        <v>104000</v>
      </c>
      <c r="E9" s="35">
        <f t="shared" si="0"/>
        <v>99000</v>
      </c>
      <c r="F9" s="35">
        <f t="shared" si="0"/>
        <v>108000</v>
      </c>
      <c r="G9" s="35">
        <f t="shared" si="0"/>
        <v>102000</v>
      </c>
      <c r="H9" s="35">
        <f t="shared" si="0"/>
        <v>88000</v>
      </c>
      <c r="I9" s="35">
        <f t="shared" si="0"/>
        <v>94000</v>
      </c>
      <c r="J9" s="35">
        <f t="shared" si="0"/>
        <v>112000</v>
      </c>
      <c r="K9" s="35">
        <f t="shared" si="0"/>
        <v>118000</v>
      </c>
      <c r="L9" s="35">
        <f t="shared" si="0"/>
        <v>116000</v>
      </c>
      <c r="M9" s="35">
        <f t="shared" si="0"/>
        <v>109000</v>
      </c>
    </row>
    <row r="10" spans="1:13" ht="15.75" customHeight="1" x14ac:dyDescent="0.35">
      <c r="A10" s="36" t="s">
        <v>40</v>
      </c>
      <c r="B10" s="37">
        <v>16100</v>
      </c>
      <c r="C10" s="37">
        <v>16800</v>
      </c>
      <c r="D10" s="37">
        <v>18200</v>
      </c>
      <c r="E10" s="37">
        <v>17300</v>
      </c>
      <c r="F10" s="37">
        <v>18900</v>
      </c>
      <c r="G10" s="37">
        <v>17800</v>
      </c>
      <c r="H10" s="37">
        <v>15400</v>
      </c>
      <c r="I10" s="37">
        <v>16400</v>
      </c>
      <c r="J10" s="37">
        <v>19600</v>
      </c>
      <c r="K10" s="37">
        <v>20600</v>
      </c>
      <c r="L10" s="37">
        <v>20300</v>
      </c>
      <c r="M10" s="37">
        <v>19100</v>
      </c>
    </row>
    <row r="11" spans="1:13" ht="15.75" customHeight="1" x14ac:dyDescent="0.35">
      <c r="A11" s="36" t="s">
        <v>41</v>
      </c>
      <c r="B11" s="37">
        <v>70400</v>
      </c>
      <c r="C11" s="37">
        <v>73400</v>
      </c>
      <c r="D11" s="37">
        <v>79600</v>
      </c>
      <c r="E11" s="37">
        <v>75700</v>
      </c>
      <c r="F11" s="37">
        <v>82600</v>
      </c>
      <c r="G11" s="37">
        <v>78000</v>
      </c>
      <c r="H11" s="37">
        <v>67300</v>
      </c>
      <c r="I11" s="37">
        <v>71900</v>
      </c>
      <c r="J11" s="37">
        <v>85700</v>
      </c>
      <c r="K11" s="37">
        <v>90300</v>
      </c>
      <c r="L11" s="37">
        <v>88700</v>
      </c>
      <c r="M11" s="37">
        <v>83400</v>
      </c>
    </row>
    <row r="12" spans="1:13" ht="15.75" customHeight="1" x14ac:dyDescent="0.35">
      <c r="A12" s="36" t="s">
        <v>42</v>
      </c>
      <c r="B12" s="37">
        <v>5500</v>
      </c>
      <c r="C12" s="37">
        <v>5800</v>
      </c>
      <c r="D12" s="37">
        <v>6200</v>
      </c>
      <c r="E12" s="37">
        <v>6000</v>
      </c>
      <c r="F12" s="37">
        <v>6500</v>
      </c>
      <c r="G12" s="37">
        <v>6200</v>
      </c>
      <c r="H12" s="37">
        <v>5300</v>
      </c>
      <c r="I12" s="37">
        <v>5700</v>
      </c>
      <c r="J12" s="37">
        <v>6700</v>
      </c>
      <c r="K12" s="37">
        <v>7100</v>
      </c>
      <c r="L12" s="37">
        <v>7000</v>
      </c>
      <c r="M12" s="37">
        <v>6500</v>
      </c>
    </row>
    <row r="14" spans="1:13" ht="19.5" customHeight="1" x14ac:dyDescent="0.35">
      <c r="A14" s="11" t="s">
        <v>43</v>
      </c>
      <c r="B14" s="11"/>
      <c r="C14" s="11"/>
      <c r="D14" s="11"/>
      <c r="E14" s="11"/>
      <c r="F14" s="11"/>
      <c r="G14" s="11"/>
      <c r="H14" s="11"/>
      <c r="I14" s="11"/>
      <c r="J14" s="11"/>
      <c r="K14" s="11"/>
      <c r="L14" s="11"/>
      <c r="M14" s="11"/>
    </row>
    <row r="15" spans="1:13" ht="15.75" customHeight="1" x14ac:dyDescent="0.35">
      <c r="A15" s="36" t="s">
        <v>44</v>
      </c>
      <c r="B15" s="37">
        <v>14200</v>
      </c>
      <c r="C15" s="37">
        <v>14200</v>
      </c>
      <c r="D15" s="37">
        <v>14200</v>
      </c>
      <c r="E15" s="37">
        <v>14200</v>
      </c>
      <c r="F15" s="37">
        <v>14800</v>
      </c>
      <c r="G15" s="37">
        <v>14800</v>
      </c>
      <c r="H15" s="37">
        <v>14800</v>
      </c>
      <c r="I15" s="37">
        <v>14800</v>
      </c>
      <c r="J15" s="37">
        <v>15600</v>
      </c>
      <c r="K15" s="37">
        <v>15600</v>
      </c>
      <c r="L15" s="37">
        <v>15600</v>
      </c>
      <c r="M15" s="37">
        <v>15600</v>
      </c>
    </row>
    <row r="16" spans="1:13" ht="15.75" customHeight="1" x14ac:dyDescent="0.35">
      <c r="A16" s="36" t="s">
        <v>45</v>
      </c>
      <c r="B16" s="37">
        <v>35400</v>
      </c>
      <c r="C16" s="37">
        <v>37000</v>
      </c>
      <c r="D16" s="37">
        <v>40000</v>
      </c>
      <c r="E16" s="37">
        <v>38100</v>
      </c>
      <c r="F16" s="37">
        <v>41600</v>
      </c>
      <c r="G16" s="37">
        <v>39300</v>
      </c>
      <c r="H16" s="37">
        <v>33900</v>
      </c>
      <c r="I16" s="37">
        <v>36200</v>
      </c>
      <c r="J16" s="37">
        <v>44800</v>
      </c>
      <c r="K16" s="37">
        <v>47200</v>
      </c>
      <c r="L16" s="37">
        <v>48100</v>
      </c>
      <c r="M16" s="37">
        <v>45200</v>
      </c>
    </row>
    <row r="17" spans="1:13" ht="15.75" customHeight="1" x14ac:dyDescent="0.35">
      <c r="A17" s="36" t="s">
        <v>46</v>
      </c>
      <c r="B17" s="37">
        <v>7500</v>
      </c>
      <c r="C17" s="37">
        <v>7500</v>
      </c>
      <c r="D17" s="37">
        <v>7500</v>
      </c>
      <c r="E17" s="37">
        <v>7500</v>
      </c>
      <c r="F17" s="37">
        <v>7500</v>
      </c>
      <c r="G17" s="37">
        <v>7500</v>
      </c>
      <c r="H17" s="37">
        <v>7500</v>
      </c>
      <c r="I17" s="37">
        <v>7500</v>
      </c>
      <c r="J17" s="37">
        <v>7500</v>
      </c>
      <c r="K17" s="37">
        <v>7500</v>
      </c>
      <c r="L17" s="37">
        <v>7500</v>
      </c>
      <c r="M17" s="37">
        <v>7500</v>
      </c>
    </row>
    <row r="18" spans="1:13" ht="15.75" customHeight="1" x14ac:dyDescent="0.35">
      <c r="A18" s="36" t="s">
        <v>47</v>
      </c>
      <c r="B18" s="37">
        <v>850</v>
      </c>
      <c r="C18" s="37">
        <v>850</v>
      </c>
      <c r="D18" s="37">
        <v>850</v>
      </c>
      <c r="E18" s="37">
        <v>850</v>
      </c>
      <c r="F18" s="37">
        <v>850</v>
      </c>
      <c r="G18" s="37">
        <v>850</v>
      </c>
      <c r="H18" s="37">
        <v>850</v>
      </c>
      <c r="I18" s="37">
        <v>850</v>
      </c>
      <c r="J18" s="37">
        <v>850</v>
      </c>
      <c r="K18" s="37">
        <v>850</v>
      </c>
      <c r="L18" s="37">
        <v>850</v>
      </c>
      <c r="M18" s="37">
        <v>850</v>
      </c>
    </row>
    <row r="19" spans="1:13" ht="15.75" customHeight="1" x14ac:dyDescent="0.35">
      <c r="A19" s="36" t="s">
        <v>48</v>
      </c>
      <c r="B19" s="37">
        <v>3600</v>
      </c>
      <c r="C19" s="37">
        <v>3200</v>
      </c>
      <c r="D19" s="37">
        <v>4400</v>
      </c>
      <c r="E19" s="37">
        <v>4100</v>
      </c>
      <c r="F19" s="37">
        <v>3900</v>
      </c>
      <c r="G19" s="37">
        <v>3500</v>
      </c>
      <c r="H19" s="37">
        <v>2900</v>
      </c>
      <c r="I19" s="37">
        <v>4600</v>
      </c>
      <c r="J19" s="37">
        <v>3800</v>
      </c>
      <c r="K19" s="37">
        <v>2900</v>
      </c>
      <c r="L19" s="37">
        <v>2400</v>
      </c>
      <c r="M19" s="37">
        <v>2200</v>
      </c>
    </row>
    <row r="20" spans="1:13" ht="15.75" customHeight="1" x14ac:dyDescent="0.35">
      <c r="A20" s="36" t="s">
        <v>49</v>
      </c>
      <c r="B20" s="37">
        <v>550</v>
      </c>
      <c r="C20" s="37">
        <v>550</v>
      </c>
      <c r="D20" s="37">
        <v>550</v>
      </c>
      <c r="E20" s="37">
        <v>550</v>
      </c>
      <c r="F20" s="37">
        <v>550</v>
      </c>
      <c r="G20" s="37">
        <v>550</v>
      </c>
      <c r="H20" s="37">
        <v>550</v>
      </c>
      <c r="I20" s="37">
        <v>550</v>
      </c>
      <c r="J20" s="37">
        <v>550</v>
      </c>
      <c r="K20" s="37">
        <v>550</v>
      </c>
      <c r="L20" s="37">
        <v>550</v>
      </c>
      <c r="M20" s="37">
        <v>550</v>
      </c>
    </row>
    <row r="21" spans="1:13" ht="15.75" customHeight="1" x14ac:dyDescent="0.35">
      <c r="A21" s="36" t="s">
        <v>50</v>
      </c>
      <c r="B21" s="37">
        <v>780</v>
      </c>
      <c r="C21" s="37">
        <v>760</v>
      </c>
      <c r="D21" s="37">
        <v>690</v>
      </c>
      <c r="E21" s="37">
        <v>620</v>
      </c>
      <c r="F21" s="37">
        <v>560</v>
      </c>
      <c r="G21" s="37">
        <v>540</v>
      </c>
      <c r="H21" s="37">
        <v>590</v>
      </c>
      <c r="I21" s="37">
        <v>610</v>
      </c>
      <c r="J21" s="37">
        <v>580</v>
      </c>
      <c r="K21" s="37">
        <v>640</v>
      </c>
      <c r="L21" s="37">
        <v>720</v>
      </c>
      <c r="M21" s="37">
        <v>810</v>
      </c>
    </row>
    <row r="22" spans="1:13" ht="15.75" customHeight="1" x14ac:dyDescent="0.35">
      <c r="A22" s="36" t="s">
        <v>51</v>
      </c>
      <c r="B22" s="37">
        <v>1200</v>
      </c>
      <c r="C22" s="37">
        <v>1150</v>
      </c>
      <c r="D22" s="37">
        <v>1300</v>
      </c>
      <c r="E22" s="37">
        <v>1250</v>
      </c>
      <c r="F22" s="37">
        <v>1180</v>
      </c>
      <c r="G22" s="37">
        <v>1220</v>
      </c>
      <c r="H22" s="37">
        <v>1050</v>
      </c>
      <c r="I22" s="37">
        <v>1300</v>
      </c>
      <c r="J22" s="37">
        <v>1400</v>
      </c>
      <c r="K22" s="37">
        <v>1350</v>
      </c>
      <c r="L22" s="37">
        <v>1240</v>
      </c>
      <c r="M22" s="37">
        <v>1180</v>
      </c>
    </row>
    <row r="23" spans="1:13" ht="15.75" customHeight="1" x14ac:dyDescent="0.35">
      <c r="A23" s="36" t="s">
        <v>52</v>
      </c>
      <c r="B23" s="37">
        <v>900</v>
      </c>
      <c r="C23" s="37">
        <v>2400</v>
      </c>
      <c r="D23" s="37">
        <v>850</v>
      </c>
      <c r="E23" s="37">
        <v>1100</v>
      </c>
      <c r="F23" s="37">
        <v>3100</v>
      </c>
      <c r="G23" s="37">
        <v>900</v>
      </c>
      <c r="H23" s="37">
        <v>800</v>
      </c>
      <c r="I23" s="37">
        <v>950</v>
      </c>
      <c r="J23" s="37">
        <v>1750</v>
      </c>
      <c r="K23" s="37">
        <v>2600</v>
      </c>
      <c r="L23" s="37">
        <v>900</v>
      </c>
      <c r="M23" s="37">
        <v>1200</v>
      </c>
    </row>
    <row r="24" spans="1:13" ht="15.75" customHeight="1" x14ac:dyDescent="0.35">
      <c r="A24" s="34" t="s">
        <v>53</v>
      </c>
      <c r="B24" s="35">
        <f t="shared" ref="B24:M24" si="1">SUM(B15:B23)</f>
        <v>64980</v>
      </c>
      <c r="C24" s="35">
        <f t="shared" si="1"/>
        <v>67610</v>
      </c>
      <c r="D24" s="35">
        <f t="shared" si="1"/>
        <v>70340</v>
      </c>
      <c r="E24" s="35">
        <f t="shared" si="1"/>
        <v>68270</v>
      </c>
      <c r="F24" s="35">
        <f t="shared" si="1"/>
        <v>74040</v>
      </c>
      <c r="G24" s="35">
        <f t="shared" si="1"/>
        <v>69160</v>
      </c>
      <c r="H24" s="35">
        <f t="shared" si="1"/>
        <v>62940</v>
      </c>
      <c r="I24" s="35">
        <f t="shared" si="1"/>
        <v>67360</v>
      </c>
      <c r="J24" s="35">
        <f t="shared" si="1"/>
        <v>76830</v>
      </c>
      <c r="K24" s="35">
        <f t="shared" si="1"/>
        <v>79190</v>
      </c>
      <c r="L24" s="35">
        <f t="shared" si="1"/>
        <v>77860</v>
      </c>
      <c r="M24" s="35">
        <f t="shared" si="1"/>
        <v>75090</v>
      </c>
    </row>
    <row r="26" spans="1:13" ht="19.5" customHeight="1" x14ac:dyDescent="0.35">
      <c r="A26" s="11" t="s">
        <v>54</v>
      </c>
      <c r="B26" s="11"/>
      <c r="C26" s="11"/>
      <c r="D26" s="11"/>
      <c r="E26" s="11"/>
      <c r="F26" s="11"/>
      <c r="G26" s="11"/>
      <c r="H26" s="11"/>
      <c r="I26" s="11"/>
      <c r="J26" s="11"/>
      <c r="K26" s="11"/>
      <c r="L26" s="11"/>
      <c r="M26" s="11"/>
    </row>
    <row r="27" spans="1:13" ht="15.75" customHeight="1" x14ac:dyDescent="0.35">
      <c r="A27" s="36" t="s">
        <v>55</v>
      </c>
      <c r="B27" s="38">
        <v>302</v>
      </c>
      <c r="C27" s="38">
        <v>303</v>
      </c>
      <c r="D27" s="38">
        <v>329</v>
      </c>
      <c r="E27" s="38">
        <v>319</v>
      </c>
      <c r="F27" s="38">
        <v>339</v>
      </c>
      <c r="G27" s="38">
        <v>320</v>
      </c>
      <c r="H27" s="38">
        <v>285</v>
      </c>
      <c r="I27" s="38">
        <v>308</v>
      </c>
      <c r="J27" s="38">
        <v>350</v>
      </c>
      <c r="K27" s="38">
        <v>361</v>
      </c>
      <c r="L27" s="38">
        <v>384</v>
      </c>
      <c r="M27" s="38">
        <v>300</v>
      </c>
    </row>
    <row r="28" spans="1:13" ht="15.75" customHeight="1" x14ac:dyDescent="0.35">
      <c r="A28" s="36" t="s">
        <v>56</v>
      </c>
      <c r="B28" s="38">
        <v>65</v>
      </c>
      <c r="C28" s="38">
        <v>61</v>
      </c>
      <c r="D28" s="38">
        <v>74</v>
      </c>
      <c r="E28" s="38">
        <v>62</v>
      </c>
      <c r="F28" s="38">
        <v>71</v>
      </c>
      <c r="G28" s="38">
        <v>61</v>
      </c>
      <c r="H28" s="38">
        <v>50</v>
      </c>
      <c r="I28" s="38">
        <v>63</v>
      </c>
      <c r="J28" s="38">
        <v>82</v>
      </c>
      <c r="K28" s="38">
        <v>74</v>
      </c>
      <c r="L28" s="38">
        <v>63</v>
      </c>
      <c r="M28" s="38">
        <v>38</v>
      </c>
    </row>
    <row r="29" spans="1:13" ht="15.75" customHeight="1" x14ac:dyDescent="0.35">
      <c r="A29" s="36" t="s">
        <v>57</v>
      </c>
      <c r="B29" s="38">
        <v>950</v>
      </c>
      <c r="C29" s="38">
        <v>970</v>
      </c>
      <c r="D29" s="38">
        <v>1085</v>
      </c>
      <c r="E29" s="38">
        <v>990</v>
      </c>
      <c r="F29" s="38">
        <v>1135</v>
      </c>
      <c r="G29" s="38">
        <v>1040</v>
      </c>
      <c r="H29" s="38">
        <v>870</v>
      </c>
      <c r="I29" s="38">
        <v>970</v>
      </c>
      <c r="J29" s="38">
        <v>1190</v>
      </c>
      <c r="K29" s="38">
        <v>1190</v>
      </c>
      <c r="L29" s="38">
        <v>1210</v>
      </c>
      <c r="M29" s="38">
        <v>1110</v>
      </c>
    </row>
    <row r="30" spans="1:13" ht="15.75" customHeight="1" x14ac:dyDescent="0.35">
      <c r="A30" s="36" t="s">
        <v>58</v>
      </c>
      <c r="B30" s="38">
        <v>1220</v>
      </c>
      <c r="C30" s="38">
        <v>1225</v>
      </c>
      <c r="D30" s="38">
        <v>1325</v>
      </c>
      <c r="E30" s="38">
        <v>1260</v>
      </c>
      <c r="F30" s="38">
        <v>1370</v>
      </c>
      <c r="G30" s="38">
        <v>1290</v>
      </c>
      <c r="H30" s="38">
        <v>1175</v>
      </c>
      <c r="I30" s="38">
        <v>1260</v>
      </c>
      <c r="J30" s="38">
        <v>1425</v>
      </c>
      <c r="K30" s="38">
        <v>1450</v>
      </c>
      <c r="L30" s="38">
        <v>1560</v>
      </c>
      <c r="M30" s="38">
        <v>1490</v>
      </c>
    </row>
    <row r="31" spans="1:13" ht="15.75" customHeight="1" x14ac:dyDescent="0.35">
      <c r="A31" s="36" t="s">
        <v>59</v>
      </c>
      <c r="B31" s="38">
        <v>995</v>
      </c>
      <c r="C31" s="38">
        <v>1015</v>
      </c>
      <c r="D31" s="38">
        <v>1135</v>
      </c>
      <c r="E31" s="38">
        <v>1035</v>
      </c>
      <c r="F31" s="38">
        <v>1185</v>
      </c>
      <c r="G31" s="38">
        <v>1085</v>
      </c>
      <c r="H31" s="38">
        <v>910</v>
      </c>
      <c r="I31" s="38">
        <v>1015</v>
      </c>
      <c r="J31" s="38">
        <v>1245</v>
      </c>
      <c r="K31" s="38">
        <v>1245</v>
      </c>
      <c r="L31" s="38">
        <v>1265</v>
      </c>
      <c r="M31" s="38">
        <v>1160</v>
      </c>
    </row>
    <row r="32" spans="1:13" ht="15.75" customHeight="1" x14ac:dyDescent="0.35">
      <c r="A32" s="36" t="s">
        <v>60</v>
      </c>
      <c r="B32" s="38">
        <v>760</v>
      </c>
      <c r="C32" s="38">
        <v>775</v>
      </c>
      <c r="D32" s="38">
        <v>820</v>
      </c>
      <c r="E32" s="38">
        <v>805</v>
      </c>
      <c r="F32" s="38">
        <v>845</v>
      </c>
      <c r="G32" s="38">
        <v>815</v>
      </c>
      <c r="H32" s="38">
        <v>745</v>
      </c>
      <c r="I32" s="38">
        <v>770</v>
      </c>
      <c r="J32" s="38">
        <v>860</v>
      </c>
      <c r="K32" s="38">
        <v>895</v>
      </c>
      <c r="L32" s="38">
        <v>915</v>
      </c>
      <c r="M32" s="38">
        <v>845</v>
      </c>
    </row>
    <row r="34" spans="1:13" ht="19.5" customHeight="1" x14ac:dyDescent="0.35">
      <c r="A34" s="11" t="s">
        <v>61</v>
      </c>
      <c r="B34" s="11"/>
      <c r="C34" s="11"/>
      <c r="D34" s="11"/>
      <c r="E34" s="11"/>
      <c r="F34" s="11"/>
      <c r="G34" s="11"/>
      <c r="H34" s="11"/>
      <c r="I34" s="11"/>
      <c r="J34" s="11"/>
      <c r="K34" s="11"/>
      <c r="L34" s="11"/>
      <c r="M34" s="11"/>
    </row>
    <row r="35" spans="1:13" ht="15.75" customHeight="1" x14ac:dyDescent="0.35">
      <c r="A35" s="34" t="s">
        <v>62</v>
      </c>
      <c r="B35" s="37">
        <v>150000</v>
      </c>
      <c r="C35" s="35">
        <f t="shared" ref="C35:M35" si="2">B36</f>
        <v>155500</v>
      </c>
      <c r="D35" s="35">
        <f t="shared" si="2"/>
        <v>164900</v>
      </c>
      <c r="E35" s="35">
        <f t="shared" si="2"/>
        <v>175600</v>
      </c>
      <c r="F35" s="35">
        <f t="shared" si="2"/>
        <v>185800</v>
      </c>
      <c r="G35" s="35">
        <f t="shared" si="2"/>
        <v>195800</v>
      </c>
      <c r="H35" s="35">
        <f t="shared" si="2"/>
        <v>209100</v>
      </c>
      <c r="I35" s="35">
        <f t="shared" si="2"/>
        <v>216200</v>
      </c>
      <c r="J35" s="35">
        <f t="shared" si="2"/>
        <v>221800</v>
      </c>
      <c r="K35" s="35">
        <f t="shared" si="2"/>
        <v>229500</v>
      </c>
      <c r="L35" s="35">
        <f t="shared" si="2"/>
        <v>246300</v>
      </c>
      <c r="M35" s="35">
        <f t="shared" si="2"/>
        <v>263400</v>
      </c>
    </row>
    <row r="36" spans="1:13" ht="15.75" customHeight="1" x14ac:dyDescent="0.35">
      <c r="A36" s="36" t="s">
        <v>63</v>
      </c>
      <c r="B36" s="37">
        <v>155500</v>
      </c>
      <c r="C36" s="37">
        <v>164900</v>
      </c>
      <c r="D36" s="37">
        <v>175600</v>
      </c>
      <c r="E36" s="37">
        <v>185800</v>
      </c>
      <c r="F36" s="37">
        <v>195800</v>
      </c>
      <c r="G36" s="37">
        <v>209100</v>
      </c>
      <c r="H36" s="37">
        <v>216200</v>
      </c>
      <c r="I36" s="37">
        <v>221800</v>
      </c>
      <c r="J36" s="37">
        <v>229500</v>
      </c>
      <c r="K36" s="37">
        <v>246300</v>
      </c>
      <c r="L36" s="37">
        <v>263400</v>
      </c>
      <c r="M36" s="37">
        <v>272800</v>
      </c>
    </row>
    <row r="37" spans="1:13" ht="15.75" customHeight="1" x14ac:dyDescent="0.35">
      <c r="A37" s="36" t="s">
        <v>64</v>
      </c>
      <c r="B37" s="37">
        <v>28500</v>
      </c>
      <c r="C37" s="37">
        <v>30000</v>
      </c>
      <c r="D37" s="37">
        <v>32500</v>
      </c>
      <c r="E37" s="37">
        <v>31000</v>
      </c>
      <c r="F37" s="37">
        <v>34000</v>
      </c>
      <c r="G37" s="37">
        <v>32000</v>
      </c>
      <c r="H37" s="37">
        <v>29500</v>
      </c>
      <c r="I37" s="37">
        <v>31500</v>
      </c>
      <c r="J37" s="37">
        <v>37000</v>
      </c>
      <c r="K37" s="37">
        <v>39500</v>
      </c>
      <c r="L37" s="37">
        <v>36500</v>
      </c>
      <c r="M37" s="37">
        <v>38500</v>
      </c>
    </row>
    <row r="38" spans="1:13" ht="15.75" customHeight="1" x14ac:dyDescent="0.35">
      <c r="A38" s="36" t="s">
        <v>65</v>
      </c>
      <c r="B38" s="37">
        <v>21500</v>
      </c>
      <c r="C38" s="37">
        <v>22000</v>
      </c>
      <c r="D38" s="37">
        <v>23500</v>
      </c>
      <c r="E38" s="37">
        <v>22500</v>
      </c>
      <c r="F38" s="37">
        <v>24000</v>
      </c>
      <c r="G38" s="37">
        <v>23000</v>
      </c>
      <c r="H38" s="37">
        <v>21000</v>
      </c>
      <c r="I38" s="37">
        <v>22500</v>
      </c>
      <c r="J38" s="37">
        <v>25500</v>
      </c>
      <c r="K38" s="37">
        <v>26500</v>
      </c>
      <c r="L38" s="37">
        <v>25000</v>
      </c>
      <c r="M38" s="37">
        <v>26000</v>
      </c>
    </row>
    <row r="39" spans="1:13" ht="15.75" customHeight="1" x14ac:dyDescent="0.35">
      <c r="A39" s="36" t="s">
        <v>66</v>
      </c>
      <c r="B39" s="37">
        <v>12000</v>
      </c>
      <c r="C39" s="37">
        <v>12000</v>
      </c>
      <c r="D39" s="37">
        <v>12000</v>
      </c>
      <c r="E39" s="37">
        <v>12000</v>
      </c>
      <c r="F39" s="37">
        <v>12000</v>
      </c>
      <c r="G39" s="37">
        <v>12000</v>
      </c>
      <c r="H39" s="37">
        <v>12000</v>
      </c>
      <c r="I39" s="37">
        <v>12000</v>
      </c>
      <c r="J39" s="37">
        <v>14000</v>
      </c>
      <c r="K39" s="37">
        <v>14000</v>
      </c>
      <c r="L39" s="37">
        <v>14000</v>
      </c>
      <c r="M39" s="37">
        <v>14000</v>
      </c>
    </row>
    <row r="41" spans="1:13" ht="18" customHeight="1" x14ac:dyDescent="0.35">
      <c r="A41" s="10" t="s">
        <v>67</v>
      </c>
      <c r="B41" s="10"/>
      <c r="C41" s="10"/>
      <c r="D41" s="10"/>
      <c r="E41" s="10"/>
      <c r="F41" s="10"/>
      <c r="G41" s="10"/>
      <c r="H41" s="10"/>
      <c r="I41" s="10"/>
      <c r="J41" s="10"/>
      <c r="K41" s="10"/>
      <c r="L41" s="10"/>
      <c r="M41" s="10"/>
    </row>
  </sheetData>
  <sheetProtection sheet="1"/>
  <mergeCells count="8">
    <mergeCell ref="A26:M26"/>
    <mergeCell ref="A34:M34"/>
    <mergeCell ref="A41:M41"/>
    <mergeCell ref="A1:M1"/>
    <mergeCell ref="A2:M2"/>
    <mergeCell ref="A4:M4"/>
    <mergeCell ref="A8:M8"/>
    <mergeCell ref="A14:M14"/>
  </mergeCells>
  <dataValidations count="1">
    <dataValidation type="decimal" errorStyle="warning" operator="greaterThanOrEqual" allowBlank="1" showErrorMessage="1" errorTitle="Check this entry" error="This cell normally holds a positive number. Enter a negative value only if you mean it." sqref="B10:M12 B15:M23 B27:M32 B35:B39 C36:M39" xr:uid="{00000000-0002-0000-0100-000000000000}">
      <formula1>0</formula1>
      <formula2>0</formula2>
    </dataValidation>
  </dataValidations>
  <pageMargins left="0.35" right="0.35" top="0.35" bottom="0.35" header="0.511811023622047" footer="0.511811023622047"/>
  <pageSetup fitToHeight="0" orientation="landscape" horizontalDpi="300" verticalDpi="300"/>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79"/>
  <sheetViews>
    <sheetView showGridLines="0" zoomScaleNormal="100" workbookViewId="0">
      <pane xSplit="1" ySplit="12" topLeftCell="B13" activePane="bottomRight" state="frozen"/>
      <selection pane="topRight" activeCell="B1" sqref="B1"/>
      <selection pane="bottomLeft" activeCell="A31" sqref="A31"/>
      <selection pane="bottomRight" activeCell="J14" sqref="J14:K14"/>
    </sheetView>
  </sheetViews>
  <sheetFormatPr defaultColWidth="8.6328125" defaultRowHeight="14.5" x14ac:dyDescent="0.35"/>
  <cols>
    <col min="1" max="1" width="2.453125" customWidth="1"/>
    <col min="2" max="17" width="7.36328125" customWidth="1"/>
    <col min="18" max="19" width="10.90625" customWidth="1"/>
    <col min="20" max="20" width="2.453125" customWidth="1"/>
  </cols>
  <sheetData>
    <row r="1" spans="1:20" ht="33.75" customHeight="1" x14ac:dyDescent="0.35">
      <c r="A1" s="9" t="s">
        <v>0</v>
      </c>
      <c r="B1" s="9"/>
      <c r="C1" s="9"/>
      <c r="D1" s="9"/>
      <c r="E1" s="9"/>
      <c r="F1" s="9"/>
      <c r="G1" s="9"/>
      <c r="H1" s="9"/>
      <c r="I1" s="9"/>
      <c r="J1" s="9"/>
      <c r="K1" s="9"/>
      <c r="L1" s="9"/>
      <c r="M1" s="9"/>
      <c r="N1" s="9"/>
      <c r="O1" s="9"/>
      <c r="P1" s="9"/>
      <c r="Q1" s="9"/>
      <c r="R1" s="9"/>
      <c r="S1" s="9"/>
      <c r="T1" s="9"/>
    </row>
    <row r="2" spans="1:20" ht="24" customHeight="1" x14ac:dyDescent="0.35">
      <c r="A2" s="13" t="s">
        <v>68</v>
      </c>
      <c r="B2" s="13"/>
      <c r="C2" s="13"/>
      <c r="D2" s="13"/>
      <c r="E2" s="13"/>
      <c r="F2" s="13"/>
      <c r="G2" s="13"/>
      <c r="H2" s="13"/>
      <c r="I2" s="13"/>
      <c r="J2" s="13"/>
      <c r="K2" s="13"/>
      <c r="L2" s="13"/>
      <c r="M2" s="13"/>
      <c r="N2" s="13"/>
      <c r="O2" s="13"/>
      <c r="P2" s="13"/>
      <c r="Q2" s="13"/>
      <c r="R2" s="13"/>
      <c r="S2" s="13"/>
      <c r="T2" s="13"/>
    </row>
    <row r="3" spans="1:20" ht="7.5" customHeight="1" x14ac:dyDescent="0.35"/>
    <row r="4" spans="1:20" ht="19.5" customHeight="1" x14ac:dyDescent="0.35">
      <c r="B4" s="8" t="str">
        <f>"Reporting month:   "&amp;'KPI Data'!$C$4&amp;"        Targets are set on the KPI Targets tab."</f>
        <v>Reporting month:   Dec        Targets are set on the KPI Targets tab.</v>
      </c>
      <c r="C4" s="8"/>
      <c r="D4" s="8"/>
      <c r="E4" s="8"/>
      <c r="F4" s="8"/>
      <c r="G4" s="8"/>
      <c r="H4" s="8"/>
      <c r="I4" s="8"/>
      <c r="J4" s="8"/>
      <c r="K4" s="8"/>
      <c r="L4" s="8"/>
      <c r="M4" s="8"/>
      <c r="N4" s="8"/>
      <c r="O4" s="8"/>
      <c r="P4" s="8"/>
      <c r="Q4" s="8"/>
      <c r="R4" s="8"/>
      <c r="S4" s="8"/>
    </row>
    <row r="5" spans="1:20" ht="6" customHeight="1" x14ac:dyDescent="0.35"/>
    <row r="6" spans="1:20" ht="15.75" customHeight="1" x14ac:dyDescent="0.35">
      <c r="B6" s="7" t="s">
        <v>38</v>
      </c>
      <c r="C6" s="7"/>
      <c r="D6" s="7"/>
      <c r="E6" s="7" t="s">
        <v>69</v>
      </c>
      <c r="F6" s="7"/>
      <c r="G6" s="7"/>
      <c r="H6" s="7" t="s">
        <v>70</v>
      </c>
      <c r="I6" s="7"/>
      <c r="J6" s="7"/>
      <c r="K6" s="7" t="s">
        <v>71</v>
      </c>
      <c r="L6" s="7"/>
      <c r="M6" s="7"/>
      <c r="N6" s="7" t="s">
        <v>72</v>
      </c>
      <c r="O6" s="7"/>
      <c r="P6" s="7"/>
      <c r="Q6" s="7" t="s">
        <v>73</v>
      </c>
      <c r="R6" s="7"/>
      <c r="S6" s="7"/>
    </row>
    <row r="7" spans="1:20" ht="31.5" customHeight="1" x14ac:dyDescent="0.35">
      <c r="B7" s="6">
        <f>IF('KPI Data'!$N$9="","N/M",'KPI Data'!$N$9)</f>
        <v>109000</v>
      </c>
      <c r="C7" s="6"/>
      <c r="D7" s="6"/>
      <c r="E7" s="6">
        <f>IF('KPI Data'!$N$10="","N/M",'KPI Data'!$N$10)</f>
        <v>33910</v>
      </c>
      <c r="F7" s="6"/>
      <c r="G7" s="6"/>
      <c r="H7" s="5">
        <f>IF('KPI Data'!$N$11="","N/M",'KPI Data'!$N$11)</f>
        <v>0.31110091743119267</v>
      </c>
      <c r="I7" s="5"/>
      <c r="J7" s="5"/>
      <c r="K7" s="6">
        <f>IF('KPI Data'!$N$16="","N/M",'KPI Data'!$N$16)</f>
        <v>272800</v>
      </c>
      <c r="L7" s="6"/>
      <c r="M7" s="6"/>
      <c r="N7" s="4">
        <f>IF('KPI Data'!$N$17="","N/M",'KPI Data'!$N$17)</f>
        <v>3.0620720619598161</v>
      </c>
      <c r="O7" s="4"/>
      <c r="P7" s="4"/>
      <c r="Q7" s="5">
        <f>IF('KPI Data'!$N$28="","N/M",'KPI Data'!$N$28)</f>
        <v>0.77852348993288589</v>
      </c>
      <c r="R7" s="5"/>
      <c r="S7" s="5"/>
    </row>
    <row r="8" spans="1:20" ht="15.75" customHeight="1" x14ac:dyDescent="0.35">
      <c r="B8" s="3" t="str">
        <f>IF(OR('KPI Data'!$N$9="",'KPI Data'!$O$9=""),"vs prior:  n/a","vs prior:  "&amp;TEXT('KPI Data'!$N$9-'KPI Data'!$O$9,"+$#,##0;-$#,##0"))</f>
        <v>vs prior:  -$7,000</v>
      </c>
      <c r="C8" s="3"/>
      <c r="D8" s="3"/>
      <c r="E8" s="3" t="str">
        <f>IF(OR('KPI Data'!$N$10="",'KPI Data'!$O$10=""),"vs prior:  n/a","vs prior:  "&amp;TEXT('KPI Data'!$N$10-'KPI Data'!$O$10,"+$#,##0;-$#,##0"))</f>
        <v>vs prior:  -$4,230</v>
      </c>
      <c r="F8" s="3"/>
      <c r="G8" s="3"/>
      <c r="H8" s="3" t="str">
        <f>IF(OR('KPI Data'!$N$11="",'KPI Data'!$O$11=""),"vs prior:  n/a","vs prior:  "&amp;TEXT(('KPI Data'!$N$11-'KPI Data'!$O$11)*100,"+0.0;-0.0")&amp;" pts")</f>
        <v>vs prior:  -1.8 pts</v>
      </c>
      <c r="I8" s="3"/>
      <c r="J8" s="3"/>
      <c r="K8" s="3" t="str">
        <f>IF(OR('KPI Data'!$N$16="",'KPI Data'!$O$16=""),"vs prior:  n/a","vs prior:  "&amp;TEXT('KPI Data'!$N$16-'KPI Data'!$O$16,"+$#,##0;-$#,##0"))</f>
        <v>vs prior:  +$9,400</v>
      </c>
      <c r="L8" s="3"/>
      <c r="M8" s="3"/>
      <c r="N8" s="3" t="str">
        <f>IF(OR('KPI Data'!$N$17="",'KPI Data'!$O$17=""),"vs prior:  n/a","vs prior:  "&amp;TEXT('KPI Data'!$N$17-'KPI Data'!$O$17,"+0.0;-0.0"))</f>
        <v>vs prior:  +0.2</v>
      </c>
      <c r="O8" s="3"/>
      <c r="P8" s="3"/>
      <c r="Q8" s="3" t="str">
        <f>IF(OR('KPI Data'!$N$28="",'KPI Data'!$O$28=""),"vs prior:  n/a","vs prior:  "&amp;TEXT(('KPI Data'!$N$28-'KPI Data'!$O$28)*100,"+0.0;-0.0")&amp;" pts")</f>
        <v>vs prior:  -3.2 pts</v>
      </c>
      <c r="R8" s="3"/>
      <c r="S8" s="3"/>
    </row>
    <row r="9" spans="1:20" ht="12" customHeight="1" x14ac:dyDescent="0.35"/>
    <row r="11" spans="1:20" ht="24" customHeight="1" x14ac:dyDescent="0.35">
      <c r="B11" s="2" t="s">
        <v>74</v>
      </c>
      <c r="C11" s="2"/>
      <c r="D11" s="2"/>
      <c r="E11" s="2"/>
      <c r="F11" s="2"/>
      <c r="G11" s="2"/>
      <c r="H11" s="2"/>
      <c r="I11" s="2"/>
      <c r="J11" s="2"/>
      <c r="K11" s="2"/>
      <c r="L11" s="2"/>
      <c r="M11" s="2"/>
      <c r="N11" s="2"/>
      <c r="O11" s="2"/>
      <c r="P11" s="2"/>
      <c r="Q11" s="2"/>
      <c r="R11" s="2"/>
      <c r="S11" s="2"/>
    </row>
    <row r="12" spans="1:20" ht="25.5" customHeight="1" x14ac:dyDescent="0.35">
      <c r="B12" s="1" t="s">
        <v>75</v>
      </c>
      <c r="C12" s="1"/>
      <c r="D12" s="1"/>
      <c r="E12" s="1"/>
      <c r="F12" s="1"/>
      <c r="G12" s="1"/>
      <c r="H12" s="97" t="s">
        <v>76</v>
      </c>
      <c r="I12" s="97"/>
      <c r="J12" s="97" t="s">
        <v>77</v>
      </c>
      <c r="K12" s="97"/>
      <c r="L12" s="32" t="s">
        <v>78</v>
      </c>
      <c r="M12" s="97" t="s">
        <v>79</v>
      </c>
      <c r="N12" s="97"/>
      <c r="O12" s="97" t="s">
        <v>80</v>
      </c>
      <c r="P12" s="97"/>
      <c r="Q12" s="32" t="s">
        <v>81</v>
      </c>
      <c r="R12" s="97" t="s">
        <v>82</v>
      </c>
      <c r="S12" s="97"/>
    </row>
    <row r="13" spans="1:20" ht="19.5" customHeight="1" x14ac:dyDescent="0.35">
      <c r="B13" s="11" t="s">
        <v>83</v>
      </c>
      <c r="C13" s="11"/>
      <c r="D13" s="11"/>
      <c r="E13" s="11"/>
      <c r="F13" s="11"/>
      <c r="G13" s="11"/>
      <c r="H13" s="11"/>
      <c r="I13" s="11"/>
      <c r="J13" s="11"/>
      <c r="K13" s="11"/>
      <c r="L13" s="11"/>
      <c r="M13" s="11"/>
      <c r="N13" s="11"/>
      <c r="O13" s="11"/>
      <c r="P13" s="11"/>
      <c r="Q13" s="11"/>
      <c r="R13" s="11"/>
      <c r="S13" s="11"/>
    </row>
    <row r="14" spans="1:20" ht="16.5" customHeight="1" x14ac:dyDescent="0.35">
      <c r="B14" s="98" t="s">
        <v>84</v>
      </c>
      <c r="C14" s="98"/>
      <c r="D14" s="98"/>
      <c r="E14" s="98"/>
      <c r="F14" s="98"/>
      <c r="G14" s="98"/>
      <c r="H14" s="99">
        <f>'KPI Data'!$N$9</f>
        <v>109000</v>
      </c>
      <c r="I14" s="99"/>
      <c r="J14" s="100" t="str">
        <f>'KPI Data'!$Q$9</f>
        <v/>
      </c>
      <c r="K14" s="100"/>
      <c r="L14" s="40" t="str">
        <f>'KPI Data'!$R$9</f>
        <v>Higher</v>
      </c>
      <c r="M14" s="101" t="str">
        <f>IF(OR($H14="",$J14=""),"",$H14-$J14)</f>
        <v/>
      </c>
      <c r="N14" s="101"/>
      <c r="O14" s="102" t="str">
        <f>IF($H14="",IF('KPI Data'!$Y$9=1,"N/M","Incomplete inputs"),IF(AND($L14&lt;&gt;"Higher",$L14&lt;&gt;"Lower"),"Monitor",IF($J14="","Set target",IF(IF($L14="Lower",$H14&lt;=$J14,$H14&gt;=$J14),"On Track",IF(IF($L14="Lower",$H14&lt;=$J14+ABS($J14)*Tolerance,$H14&gt;=$J14-ABS($J14)*Tolerance),"Watch","Action")))))</f>
        <v>Set target</v>
      </c>
      <c r="P14" s="102"/>
      <c r="Q14" s="41" t="str">
        <f>IF(OR('KPI Data'!$N$9="",'KPI Data'!$O$9=""),"",IF('KPI Data'!$N$9&gt;'KPI Data'!$O$9,"▲",IF('KPI Data'!$N$9&lt;'KPI Data'!$O$9,"▼","▬")))</f>
        <v>▼</v>
      </c>
      <c r="R14" s="42" t="str">
        <f>IF('KPI Data'!$S$9="","",REPT("█",MAX(1,MIN(15,ROUND('KPI Data'!$S$9*12,0)))))</f>
        <v/>
      </c>
      <c r="S14" s="43"/>
    </row>
    <row r="15" spans="1:20" ht="16.5" customHeight="1" x14ac:dyDescent="0.35">
      <c r="B15" s="98" t="s">
        <v>85</v>
      </c>
      <c r="C15" s="98"/>
      <c r="D15" s="98"/>
      <c r="E15" s="98"/>
      <c r="F15" s="98"/>
      <c r="G15" s="98"/>
      <c r="H15" s="99">
        <f>'KPI Data'!$N$10</f>
        <v>33910</v>
      </c>
      <c r="I15" s="99"/>
      <c r="J15" s="100" t="str">
        <f>'KPI Data'!$Q$10</f>
        <v/>
      </c>
      <c r="K15" s="100"/>
      <c r="L15" s="40" t="str">
        <f>'KPI Data'!$R$10</f>
        <v>Higher</v>
      </c>
      <c r="M15" s="101" t="str">
        <f>IF(OR($H15="",$J15=""),"",$H15-$J15)</f>
        <v/>
      </c>
      <c r="N15" s="101"/>
      <c r="O15" s="102" t="str">
        <f>IF($H15="",IF('KPI Data'!$Y$10=1,"N/M","Incomplete inputs"),IF(AND($L15&lt;&gt;"Higher",$L15&lt;&gt;"Lower"),"Monitor",IF($J15="","Set target",IF(IF($L15="Lower",$H15&lt;=$J15,$H15&gt;=$J15),"On Track",IF(IF($L15="Lower",$H15&lt;=$J15+ABS($J15)*Tolerance,$H15&gt;=$J15-ABS($J15)*Tolerance),"Watch","Action")))))</f>
        <v>Set target</v>
      </c>
      <c r="P15" s="102"/>
      <c r="Q15" s="41" t="str">
        <f>IF(OR('KPI Data'!$N$10="",'KPI Data'!$O$10=""),"",IF('KPI Data'!$N$10&gt;'KPI Data'!$O$10,"▲",IF('KPI Data'!$N$10&lt;'KPI Data'!$O$10,"▼","▬")))</f>
        <v>▼</v>
      </c>
      <c r="R15" s="42" t="str">
        <f>IF('KPI Data'!$S$10="","",REPT("█",MAX(1,MIN(15,ROUND('KPI Data'!$S$10*12,0)))))</f>
        <v/>
      </c>
      <c r="S15" s="43"/>
    </row>
    <row r="16" spans="1:20" ht="16.5" customHeight="1" x14ac:dyDescent="0.35">
      <c r="B16" s="98" t="s">
        <v>86</v>
      </c>
      <c r="C16" s="98"/>
      <c r="D16" s="98"/>
      <c r="E16" s="98"/>
      <c r="F16" s="98"/>
      <c r="G16" s="98"/>
      <c r="H16" s="103">
        <f>'KPI Data'!$N$11</f>
        <v>0.31110091743119267</v>
      </c>
      <c r="I16" s="103"/>
      <c r="J16" s="104">
        <f>'KPI Data'!$Q$11</f>
        <v>0.25</v>
      </c>
      <c r="K16" s="104"/>
      <c r="L16" s="40" t="str">
        <f>'KPI Data'!$R$11</f>
        <v>Higher</v>
      </c>
      <c r="M16" s="105">
        <f>IF(OR($H16="",$J16=""),"",$H16-$J16)</f>
        <v>6.1100917431192669E-2</v>
      </c>
      <c r="N16" s="105"/>
      <c r="O16" s="102" t="str">
        <f>IF($H16="",IF('KPI Data'!$Y$11=1,"N/M","Incomplete inputs"),IF(AND($L16&lt;&gt;"Higher",$L16&lt;&gt;"Lower"),"Monitor",IF($J16="","Set target",IF(IF($L16="Lower",$H16&lt;=$J16,$H16&gt;=$J16),"On Track",IF(IF($L16="Lower",$H16&lt;=$J16+ABS($J16)*Tolerance,$H16&gt;=$J16-ABS($J16)*Tolerance),"Watch","Action")))))</f>
        <v>On Track</v>
      </c>
      <c r="P16" s="102"/>
      <c r="Q16" s="41" t="str">
        <f>IF(OR('KPI Data'!$N$11="",'KPI Data'!$O$11=""),"",IF('KPI Data'!$N$11&gt;'KPI Data'!$O$11,"▲",IF('KPI Data'!$N$11&lt;'KPI Data'!$O$11,"▼","▬")))</f>
        <v>▼</v>
      </c>
      <c r="R16" s="42" t="str">
        <f>IF('KPI Data'!$S$11="","",REPT("█",MAX(1,MIN(15,ROUND('KPI Data'!$S$11*12,0)))))</f>
        <v>███████████████</v>
      </c>
      <c r="S16" s="43"/>
    </row>
    <row r="17" spans="2:19" ht="16.5" customHeight="1" x14ac:dyDescent="0.35">
      <c r="B17" s="98" t="s">
        <v>87</v>
      </c>
      <c r="C17" s="98"/>
      <c r="D17" s="98"/>
      <c r="E17" s="98"/>
      <c r="F17" s="98"/>
      <c r="G17" s="98"/>
      <c r="H17" s="103">
        <f>'KPI Data'!$N$12</f>
        <v>0.1826605504587156</v>
      </c>
      <c r="I17" s="103"/>
      <c r="J17" s="104">
        <f>'KPI Data'!$Q$12</f>
        <v>0.15</v>
      </c>
      <c r="K17" s="104"/>
      <c r="L17" s="40" t="str">
        <f>'KPI Data'!$R$12</f>
        <v>Higher</v>
      </c>
      <c r="M17" s="105">
        <f>IF(OR($H17="",$J17=""),"",$H17-$J17)</f>
        <v>3.2660550458715604E-2</v>
      </c>
      <c r="N17" s="105"/>
      <c r="O17" s="102" t="str">
        <f>IF($H17="",IF('KPI Data'!$Y$12=1,"N/M","Incomplete inputs"),IF(AND($L17&lt;&gt;"Higher",$L17&lt;&gt;"Lower"),"Monitor",IF($J17="","Set target",IF(IF($L17="Lower",$H17&lt;=$J17,$H17&gt;=$J17),"On Track",IF(IF($L17="Lower",$H17&lt;=$J17+ABS($J17)*Tolerance,$H17&gt;=$J17-ABS($J17)*Tolerance),"Watch","Action")))))</f>
        <v>On Track</v>
      </c>
      <c r="P17" s="102"/>
      <c r="Q17" s="41" t="str">
        <f>IF(OR('KPI Data'!$N$12="",'KPI Data'!$O$12=""),"",IF('KPI Data'!$N$12&gt;'KPI Data'!$O$12,"▲",IF('KPI Data'!$N$12&lt;'KPI Data'!$O$12,"▼","▬")))</f>
        <v>▼</v>
      </c>
      <c r="R17" s="42" t="str">
        <f>IF('KPI Data'!$S$12="","",REPT("█",MAX(1,MIN(15,ROUND('KPI Data'!$S$12*12,0)))))</f>
        <v>███████████████</v>
      </c>
      <c r="S17" s="43"/>
    </row>
    <row r="18" spans="2:19" ht="16.5" customHeight="1" x14ac:dyDescent="0.35">
      <c r="B18" s="98" t="s">
        <v>88</v>
      </c>
      <c r="C18" s="98"/>
      <c r="D18" s="98"/>
      <c r="E18" s="98"/>
      <c r="F18" s="98"/>
      <c r="G18" s="98"/>
      <c r="H18" s="103">
        <f>'KPI Data'!$N$13</f>
        <v>-6.0344827586206851E-2</v>
      </c>
      <c r="I18" s="103"/>
      <c r="J18" s="104">
        <f>'KPI Data'!$Q$13</f>
        <v>0</v>
      </c>
      <c r="K18" s="104"/>
      <c r="L18" s="40" t="str">
        <f>'KPI Data'!$R$13</f>
        <v>Higher</v>
      </c>
      <c r="M18" s="105">
        <f>IF(OR($H18="",$J18=""),"",$H18-$J18)</f>
        <v>-6.0344827586206851E-2</v>
      </c>
      <c r="N18" s="105"/>
      <c r="O18" s="102" t="str">
        <f>IF($H18="",IF('KPI Data'!$Y$13=1,"N/M","Incomplete inputs"),IF(AND($L18&lt;&gt;"Higher",$L18&lt;&gt;"Lower"),"Monitor",IF($J18="","Set target",IF(IF($L18="Lower",$H18&lt;=$J18,$H18&gt;=$J18),"On Track",IF(IF($L18="Lower",$H18&lt;=$J18+ABS($J18)*Tolerance,$H18&gt;=$J18-ABS($J18)*Tolerance),"Watch","Action")))))</f>
        <v>Action</v>
      </c>
      <c r="P18" s="102"/>
      <c r="Q18" s="41" t="str">
        <f>IF(OR('KPI Data'!$N$13="",'KPI Data'!$O$13=""),"",IF('KPI Data'!$N$13&gt;'KPI Data'!$O$13,"▲",IF('KPI Data'!$N$13&lt;'KPI Data'!$O$13,"▼","▬")))</f>
        <v>▼</v>
      </c>
      <c r="R18" s="42" t="str">
        <f>IF('KPI Data'!$S$13="","",REPT("█",MAX(1,MIN(15,ROUND('KPI Data'!$S$13*12,0)))))</f>
        <v/>
      </c>
      <c r="S18" s="43"/>
    </row>
    <row r="20" spans="2:19" ht="19.5" customHeight="1" x14ac:dyDescent="0.35">
      <c r="B20" s="11" t="s">
        <v>61</v>
      </c>
      <c r="C20" s="11"/>
      <c r="D20" s="11"/>
      <c r="E20" s="11"/>
      <c r="F20" s="11"/>
      <c r="G20" s="11"/>
      <c r="H20" s="11"/>
      <c r="I20" s="11"/>
      <c r="J20" s="11"/>
      <c r="K20" s="11"/>
      <c r="L20" s="11"/>
      <c r="M20" s="11"/>
      <c r="N20" s="11"/>
      <c r="O20" s="11"/>
      <c r="P20" s="11"/>
      <c r="Q20" s="11"/>
      <c r="R20" s="11"/>
      <c r="S20" s="11"/>
    </row>
    <row r="21" spans="2:19" ht="16.5" customHeight="1" x14ac:dyDescent="0.35">
      <c r="B21" s="98" t="s">
        <v>89</v>
      </c>
      <c r="C21" s="98"/>
      <c r="D21" s="98"/>
      <c r="E21" s="98"/>
      <c r="F21" s="98"/>
      <c r="G21" s="98"/>
      <c r="H21" s="99">
        <f>'KPI Data'!$N$16</f>
        <v>272800</v>
      </c>
      <c r="I21" s="99"/>
      <c r="J21" s="100" t="str">
        <f>'KPI Data'!$Q$16</f>
        <v/>
      </c>
      <c r="K21" s="100"/>
      <c r="L21" s="40" t="str">
        <f>'KPI Data'!$R$16</f>
        <v>Higher</v>
      </c>
      <c r="M21" s="101" t="str">
        <f t="shared" ref="M21:M26" si="0">IF(OR($H21="",$J21=""),"",$H21-$J21)</f>
        <v/>
      </c>
      <c r="N21" s="101"/>
      <c r="O21" s="102" t="str">
        <f>IF($H21="",IF('KPI Data'!$Y$16=1,"N/M","Incomplete inputs"),IF(AND($L21&lt;&gt;"Higher",$L21&lt;&gt;"Lower"),"Monitor",IF($J21="","Set target",IF(IF($L21="Lower",$H21&lt;=$J21,$H21&gt;=$J21),"On Track",IF(IF($L21="Lower",$H21&lt;=$J21+ABS($J21)*Tolerance,$H21&gt;=$J21-ABS($J21)*Tolerance),"Watch","Action")))))</f>
        <v>Set target</v>
      </c>
      <c r="P21" s="102"/>
      <c r="Q21" s="41" t="str">
        <f>IF(OR('KPI Data'!$N$16="",'KPI Data'!$O$16=""),"",IF('KPI Data'!$N$16&gt;'KPI Data'!$O$16,"▲",IF('KPI Data'!$N$16&lt;'KPI Data'!$O$16,"▼","▬")))</f>
        <v>▲</v>
      </c>
      <c r="R21" s="42" t="str">
        <f>IF('KPI Data'!$S$16="","",REPT("█",MAX(1,MIN(15,ROUND('KPI Data'!$S$16*12,0)))))</f>
        <v/>
      </c>
      <c r="S21" s="43"/>
    </row>
    <row r="22" spans="2:19" ht="16.5" customHeight="1" x14ac:dyDescent="0.35">
      <c r="B22" s="98" t="s">
        <v>90</v>
      </c>
      <c r="C22" s="98"/>
      <c r="D22" s="98"/>
      <c r="E22" s="98"/>
      <c r="F22" s="98"/>
      <c r="G22" s="98"/>
      <c r="H22" s="106">
        <f>'KPI Data'!$N$17</f>
        <v>3.0620720619598161</v>
      </c>
      <c r="I22" s="106"/>
      <c r="J22" s="107">
        <f>'KPI Data'!$Q$17</f>
        <v>3</v>
      </c>
      <c r="K22" s="107"/>
      <c r="L22" s="40" t="str">
        <f>'KPI Data'!$R$17</f>
        <v>Higher</v>
      </c>
      <c r="M22" s="108">
        <f t="shared" si="0"/>
        <v>6.2072061959816072E-2</v>
      </c>
      <c r="N22" s="108"/>
      <c r="O22" s="102" t="str">
        <f>IF($H22="",IF('KPI Data'!$Y$17=1,"N/M","Incomplete inputs"),IF(AND($L22&lt;&gt;"Higher",$L22&lt;&gt;"Lower"),"Monitor",IF($J22="","Set target",IF(IF($L22="Lower",$H22&lt;=$J22,$H22&gt;=$J22),"On Track",IF(IF($L22="Lower",$H22&lt;=$J22+ABS($J22)*Tolerance,$H22&gt;=$J22-ABS($J22)*Tolerance),"Watch","Action")))))</f>
        <v>On Track</v>
      </c>
      <c r="P22" s="102"/>
      <c r="Q22" s="41" t="str">
        <f>IF(OR('KPI Data'!$N$17="",'KPI Data'!$O$17=""),"",IF('KPI Data'!$N$17&gt;'KPI Data'!$O$17,"▲",IF('KPI Data'!$N$17&lt;'KPI Data'!$O$17,"▼","▬")))</f>
        <v>▲</v>
      </c>
      <c r="R22" s="42" t="str">
        <f>IF('KPI Data'!$S$17="","",REPT("█",MAX(1,MIN(15,ROUND('KPI Data'!$S$17*12,0)))))</f>
        <v>████████████</v>
      </c>
      <c r="S22" s="43"/>
    </row>
    <row r="23" spans="2:19" ht="16.5" customHeight="1" x14ac:dyDescent="0.35">
      <c r="B23" s="98" t="s">
        <v>91</v>
      </c>
      <c r="C23" s="98"/>
      <c r="D23" s="98"/>
      <c r="E23" s="98"/>
      <c r="F23" s="98"/>
      <c r="G23" s="98"/>
      <c r="H23" s="99">
        <f>'KPI Data'!$N$18</f>
        <v>9400</v>
      </c>
      <c r="I23" s="99"/>
      <c r="J23" s="100">
        <f>'KPI Data'!$Q$18</f>
        <v>0</v>
      </c>
      <c r="K23" s="100"/>
      <c r="L23" s="40" t="str">
        <f>'KPI Data'!$R$18</f>
        <v>Higher</v>
      </c>
      <c r="M23" s="101">
        <f t="shared" si="0"/>
        <v>9400</v>
      </c>
      <c r="N23" s="101"/>
      <c r="O23" s="102" t="str">
        <f>IF($H23="",IF('KPI Data'!$Y$18=1,"N/M","Incomplete inputs"),IF(AND($L23&lt;&gt;"Higher",$L23&lt;&gt;"Lower"),"Monitor",IF($J23="","Set target",IF(IF($L23="Lower",$H23&lt;=$J23,$H23&gt;=$J23),"On Track",IF(IF($L23="Lower",$H23&lt;=$J23+ABS($J23)*Tolerance,$H23&gt;=$J23-ABS($J23)*Tolerance),"Watch","Action")))))</f>
        <v>On Track</v>
      </c>
      <c r="P23" s="102"/>
      <c r="Q23" s="41" t="str">
        <f>IF(OR('KPI Data'!$N$18="",'KPI Data'!$O$18=""),"",IF('KPI Data'!$N$18&gt;'KPI Data'!$O$18,"▲",IF('KPI Data'!$N$18&lt;'KPI Data'!$O$18,"▼","▬")))</f>
        <v>▼</v>
      </c>
      <c r="R23" s="42" t="str">
        <f>IF('KPI Data'!$S$18="","",REPT("█",MAX(1,MIN(15,ROUND('KPI Data'!$S$18*12,0)))))</f>
        <v/>
      </c>
      <c r="S23" s="43"/>
    </row>
    <row r="24" spans="2:19" ht="16.5" customHeight="1" x14ac:dyDescent="0.35">
      <c r="B24" s="98" t="s">
        <v>92</v>
      </c>
      <c r="C24" s="98"/>
      <c r="D24" s="98"/>
      <c r="E24" s="98"/>
      <c r="F24" s="98"/>
      <c r="G24" s="98"/>
      <c r="H24" s="99">
        <f>'KPI Data'!$N$19</f>
        <v>285300</v>
      </c>
      <c r="I24" s="99"/>
      <c r="J24" s="100" t="str">
        <f>'KPI Data'!$Q$19</f>
        <v/>
      </c>
      <c r="K24" s="100"/>
      <c r="L24" s="40" t="str">
        <f>'KPI Data'!$R$19</f>
        <v>Higher</v>
      </c>
      <c r="M24" s="101" t="str">
        <f t="shared" si="0"/>
        <v/>
      </c>
      <c r="N24" s="101"/>
      <c r="O24" s="102" t="str">
        <f>IF($H24="",IF('KPI Data'!$Y$19=1,"N/M","Incomplete inputs"),IF(AND($L24&lt;&gt;"Higher",$L24&lt;&gt;"Lower"),"Monitor",IF($J24="","Set target",IF(IF($L24="Lower",$H24&lt;=$J24,$H24&gt;=$J24),"On Track",IF(IF($L24="Lower",$H24&lt;=$J24+ABS($J24)*Tolerance,$H24&gt;=$J24-ABS($J24)*Tolerance),"Watch","Action")))))</f>
        <v>Set target</v>
      </c>
      <c r="P24" s="102"/>
      <c r="Q24" s="41" t="str">
        <f>IF(OR('KPI Data'!$N$19="",'KPI Data'!$O$19=""),"",IF('KPI Data'!$N$19&gt;'KPI Data'!$O$19,"▲",IF('KPI Data'!$N$19&lt;'KPI Data'!$O$19,"▼","▬")))</f>
        <v>▲</v>
      </c>
      <c r="R24" s="42" t="str">
        <f>IF('KPI Data'!$S$19="","",REPT("█",MAX(1,MIN(15,ROUND('KPI Data'!$S$19*12,0)))))</f>
        <v/>
      </c>
      <c r="S24" s="43"/>
    </row>
    <row r="25" spans="2:19" ht="16.5" customHeight="1" x14ac:dyDescent="0.35">
      <c r="B25" s="98" t="s">
        <v>93</v>
      </c>
      <c r="C25" s="98"/>
      <c r="D25" s="98"/>
      <c r="E25" s="98"/>
      <c r="F25" s="98"/>
      <c r="G25" s="98"/>
      <c r="H25" s="109">
        <f>'KPI Data'!$N$20</f>
        <v>11.973076923076922</v>
      </c>
      <c r="I25" s="109"/>
      <c r="J25" s="110">
        <f>'KPI Data'!$Q$20</f>
        <v>1.5</v>
      </c>
      <c r="K25" s="110"/>
      <c r="L25" s="40" t="str">
        <f>'KPI Data'!$R$20</f>
        <v>Higher</v>
      </c>
      <c r="M25" s="111">
        <f t="shared" si="0"/>
        <v>10.473076923076922</v>
      </c>
      <c r="N25" s="111"/>
      <c r="O25" s="102" t="str">
        <f>IF($H25="",IF('KPI Data'!$Y$20=1,"N/M","Incomplete inputs"),IF(AND($L25&lt;&gt;"Higher",$L25&lt;&gt;"Lower"),"Monitor",IF($J25="","Set target",IF(IF($L25="Lower",$H25&lt;=$J25,$H25&gt;=$J25),"On Track",IF(IF($L25="Lower",$H25&lt;=$J25+ABS($J25)*Tolerance,$H25&gt;=$J25-ABS($J25)*Tolerance),"Watch","Action")))))</f>
        <v>On Track</v>
      </c>
      <c r="P25" s="102"/>
      <c r="Q25" s="41" t="str">
        <f>IF(OR('KPI Data'!$N$20="",'KPI Data'!$O$20=""),"",IF('KPI Data'!$N$20&gt;'KPI Data'!$O$20,"▲",IF('KPI Data'!$N$20&lt;'KPI Data'!$O$20,"▼","▬")))</f>
        <v>▼</v>
      </c>
      <c r="R25" s="42" t="str">
        <f>IF('KPI Data'!$S$20="","",REPT("█",MAX(1,MIN(15,ROUND('KPI Data'!$S$20*12,0)))))</f>
        <v>███████████████</v>
      </c>
      <c r="S25" s="43"/>
    </row>
    <row r="26" spans="2:19" ht="16.5" customHeight="1" x14ac:dyDescent="0.35">
      <c r="B26" s="98" t="s">
        <v>94</v>
      </c>
      <c r="C26" s="98"/>
      <c r="D26" s="98"/>
      <c r="E26" s="98"/>
      <c r="F26" s="98"/>
      <c r="G26" s="98"/>
      <c r="H26" s="106">
        <f>'KPI Data'!$N$21</f>
        <v>10.737614678899082</v>
      </c>
      <c r="I26" s="106"/>
      <c r="J26" s="107">
        <f>'KPI Data'!$Q$21</f>
        <v>30</v>
      </c>
      <c r="K26" s="107"/>
      <c r="L26" s="40" t="str">
        <f>'KPI Data'!$R$21</f>
        <v>Lower</v>
      </c>
      <c r="M26" s="108">
        <f t="shared" si="0"/>
        <v>-19.262385321100918</v>
      </c>
      <c r="N26" s="108"/>
      <c r="O26" s="102" t="str">
        <f>IF($H26="",IF('KPI Data'!$Y$21=1,"N/M","Incomplete inputs"),IF(AND($L26&lt;&gt;"Higher",$L26&lt;&gt;"Lower"),"Monitor",IF($J26="","Set target",IF(IF($L26="Lower",$H26&lt;=$J26,$H26&gt;=$J26),"On Track",IF(IF($L26="Lower",$H26&lt;=$J26+ABS($J26)*Tolerance,$H26&gt;=$J26-ABS($J26)*Tolerance),"Watch","Action")))))</f>
        <v>On Track</v>
      </c>
      <c r="P26" s="102"/>
      <c r="Q26" s="41" t="str">
        <f>IF(OR('KPI Data'!$N$21="",'KPI Data'!$O$21=""),"",IF('KPI Data'!$N$21&gt;'KPI Data'!$O$21,"▲",IF('KPI Data'!$N$21&lt;'KPI Data'!$O$21,"▼","▬")))</f>
        <v>▲</v>
      </c>
      <c r="R26" s="42" t="str">
        <f>IF('KPI Data'!$S$21="","",REPT("█",MAX(1,MIN(15,ROUND('KPI Data'!$S$21*12,0)))))</f>
        <v>███████████████</v>
      </c>
      <c r="S26" s="43"/>
    </row>
    <row r="28" spans="2:19" ht="19.5" customHeight="1" x14ac:dyDescent="0.35">
      <c r="B28" s="11" t="s">
        <v>95</v>
      </c>
      <c r="C28" s="11"/>
      <c r="D28" s="11"/>
      <c r="E28" s="11"/>
      <c r="F28" s="11"/>
      <c r="G28" s="11"/>
      <c r="H28" s="11"/>
      <c r="I28" s="11"/>
      <c r="J28" s="11"/>
      <c r="K28" s="11"/>
      <c r="L28" s="11"/>
      <c r="M28" s="11"/>
      <c r="N28" s="11"/>
      <c r="O28" s="11"/>
      <c r="P28" s="11"/>
      <c r="Q28" s="11"/>
      <c r="R28" s="11"/>
      <c r="S28" s="11"/>
    </row>
    <row r="29" spans="2:19" ht="16.5" customHeight="1" x14ac:dyDescent="0.35">
      <c r="B29" s="98" t="s">
        <v>96</v>
      </c>
      <c r="C29" s="98"/>
      <c r="D29" s="98"/>
      <c r="E29" s="98"/>
      <c r="F29" s="98"/>
      <c r="G29" s="98"/>
      <c r="H29" s="112">
        <f>'KPI Data'!$N$24</f>
        <v>363.33333333333331</v>
      </c>
      <c r="I29" s="112"/>
      <c r="J29" s="113" t="str">
        <f>'KPI Data'!$Q$24</f>
        <v/>
      </c>
      <c r="K29" s="113"/>
      <c r="L29" s="40" t="str">
        <f>'KPI Data'!$R$24</f>
        <v>Higher</v>
      </c>
      <c r="M29" s="114" t="str">
        <f>IF(OR($H29="",$J29=""),"",$H29-$J29)</f>
        <v/>
      </c>
      <c r="N29" s="114"/>
      <c r="O29" s="102" t="str">
        <f>IF($H29="",IF('KPI Data'!$Y$24=1,"N/M","Incomplete inputs"),IF(AND($L29&lt;&gt;"Higher",$L29&lt;&gt;"Lower"),"Monitor",IF($J29="","Set target",IF(IF($L29="Lower",$H29&lt;=$J29,$H29&gt;=$J29),"On Track",IF(IF($L29="Lower",$H29&lt;=$J29+ABS($J29)*Tolerance,$H29&gt;=$J29-ABS($J29)*Tolerance),"Watch","Action")))))</f>
        <v>Set target</v>
      </c>
      <c r="P29" s="102"/>
      <c r="Q29" s="41" t="str">
        <f>IF(OR('KPI Data'!$N$24="",'KPI Data'!$O$24=""),"",IF('KPI Data'!$N$24&gt;'KPI Data'!$O$24,"▲",IF('KPI Data'!$N$24&lt;'KPI Data'!$O$24,"▼","▬")))</f>
        <v>▲</v>
      </c>
      <c r="R29" s="42" t="str">
        <f>IF('KPI Data'!$S$24="","",REPT("█",MAX(1,MIN(15,ROUND('KPI Data'!$S$24*12,0)))))</f>
        <v/>
      </c>
      <c r="S29" s="43"/>
    </row>
    <row r="30" spans="2:19" ht="16.5" customHeight="1" x14ac:dyDescent="0.35">
      <c r="B30" s="98" t="s">
        <v>97</v>
      </c>
      <c r="C30" s="98"/>
      <c r="D30" s="98"/>
      <c r="E30" s="98"/>
      <c r="F30" s="98"/>
      <c r="G30" s="98"/>
      <c r="H30" s="112">
        <f>'KPI Data'!$N$25</f>
        <v>98.198198198198199</v>
      </c>
      <c r="I30" s="112"/>
      <c r="J30" s="113">
        <f>'KPI Data'!$Q$25</f>
        <v>90</v>
      </c>
      <c r="K30" s="113"/>
      <c r="L30" s="40" t="str">
        <f>'KPI Data'!$R$25</f>
        <v>Higher</v>
      </c>
      <c r="M30" s="114">
        <f>IF(OR($H30="",$J30=""),"",$H30-$J30)</f>
        <v>8.1981981981981988</v>
      </c>
      <c r="N30" s="114"/>
      <c r="O30" s="102" t="str">
        <f>IF($H30="",IF('KPI Data'!$Y$25=1,"N/M","Incomplete inputs"),IF(AND($L30&lt;&gt;"Higher",$L30&lt;&gt;"Lower"),"Monitor",IF($J30="","Set target",IF(IF($L30="Lower",$H30&lt;=$J30,$H30&gt;=$J30),"On Track",IF(IF($L30="Lower",$H30&lt;=$J30+ABS($J30)*Tolerance,$H30&gt;=$J30-ABS($J30)*Tolerance),"Watch","Action")))))</f>
        <v>On Track</v>
      </c>
      <c r="P30" s="102"/>
      <c r="Q30" s="41" t="str">
        <f>IF(OR('KPI Data'!$N$25="",'KPI Data'!$O$25=""),"",IF('KPI Data'!$N$25&gt;'KPI Data'!$O$25,"▲",IF('KPI Data'!$N$25&lt;'KPI Data'!$O$25,"▼","▬")))</f>
        <v>▲</v>
      </c>
      <c r="R30" s="42" t="str">
        <f>IF('KPI Data'!$S$25="","",REPT("█",MAX(1,MIN(15,ROUND('KPI Data'!$S$25*12,0)))))</f>
        <v>█████████████</v>
      </c>
      <c r="S30" s="43"/>
    </row>
    <row r="31" spans="2:19" ht="16.5" customHeight="1" x14ac:dyDescent="0.35">
      <c r="B31" s="98" t="s">
        <v>98</v>
      </c>
      <c r="C31" s="98"/>
      <c r="D31" s="98"/>
      <c r="E31" s="98"/>
      <c r="F31" s="98"/>
      <c r="G31" s="98"/>
      <c r="H31" s="112">
        <f>'KPI Data'!$N$26</f>
        <v>128.9940828402367</v>
      </c>
      <c r="I31" s="112"/>
      <c r="J31" s="113">
        <f>'KPI Data'!$Q$26</f>
        <v>110</v>
      </c>
      <c r="K31" s="113"/>
      <c r="L31" s="40" t="str">
        <f>'KPI Data'!$R$26</f>
        <v>Higher</v>
      </c>
      <c r="M31" s="114">
        <f>IF(OR($H31="",$J31=""),"",$H31-$J31)</f>
        <v>18.9940828402367</v>
      </c>
      <c r="N31" s="114"/>
      <c r="O31" s="102" t="str">
        <f>IF($H31="",IF('KPI Data'!$Y$26=1,"N/M","Incomplete inputs"),IF(AND($L31&lt;&gt;"Higher",$L31&lt;&gt;"Lower"),"Monitor",IF($J31="","Set target",IF(IF($L31="Lower",$H31&lt;=$J31,$H31&gt;=$J31),"On Track",IF(IF($L31="Lower",$H31&lt;=$J31+ABS($J31)*Tolerance,$H31&gt;=$J31-ABS($J31)*Tolerance),"Watch","Action")))))</f>
        <v>On Track</v>
      </c>
      <c r="P31" s="102"/>
      <c r="Q31" s="41" t="str">
        <f>IF(OR('KPI Data'!$N$26="",'KPI Data'!$O$26=""),"",IF('KPI Data'!$N$26&gt;'KPI Data'!$O$26,"▲",IF('KPI Data'!$N$26&lt;'KPI Data'!$O$26,"▼","▬")))</f>
        <v>▲</v>
      </c>
      <c r="R31" s="42" t="str">
        <f>IF('KPI Data'!$S$26="","",REPT("█",MAX(1,MIN(15,ROUND('KPI Data'!$S$26*12,0)))))</f>
        <v>██████████████</v>
      </c>
      <c r="S31" s="43"/>
    </row>
    <row r="32" spans="2:19" ht="16.5" customHeight="1" x14ac:dyDescent="0.35">
      <c r="B32" s="98" t="s">
        <v>99</v>
      </c>
      <c r="C32" s="98"/>
      <c r="D32" s="98"/>
      <c r="E32" s="98"/>
      <c r="F32" s="98"/>
      <c r="G32" s="98"/>
      <c r="H32" s="109">
        <f>'KPI Data'!$N$27</f>
        <v>3.7</v>
      </c>
      <c r="I32" s="109"/>
      <c r="J32" s="110" t="str">
        <f>'KPI Data'!$Q$27</f>
        <v/>
      </c>
      <c r="K32" s="110"/>
      <c r="L32" s="40" t="str">
        <f>'KPI Data'!$R$27</f>
        <v>Context</v>
      </c>
      <c r="M32" s="111" t="str">
        <f>IF(OR($H32="",$J32=""),"",$H32-$J32)</f>
        <v/>
      </c>
      <c r="N32" s="111"/>
      <c r="O32" s="102" t="str">
        <f>IF($H32="",IF('KPI Data'!$Y$27=1,"N/M","Incomplete inputs"),IF(AND($L32&lt;&gt;"Higher",$L32&lt;&gt;"Lower"),"Monitor",IF($J32="","Set target",IF(IF($L32="Lower",$H32&lt;=$J32,$H32&gt;=$J32),"On Track",IF(IF($L32="Lower",$H32&lt;=$J32+ABS($J32)*Tolerance,$H32&gt;=$J32-ABS($J32)*Tolerance),"Watch","Action")))))</f>
        <v>Monitor</v>
      </c>
      <c r="P32" s="102"/>
      <c r="Q32" s="41" t="str">
        <f>IF(OR('KPI Data'!$N$27="",'KPI Data'!$O$27=""),"",IF('KPI Data'!$N$27&gt;'KPI Data'!$O$27,"▲",IF('KPI Data'!$N$27&lt;'KPI Data'!$O$27,"▼","▬")))</f>
        <v>▲</v>
      </c>
      <c r="R32" s="42" t="str">
        <f>IF('KPI Data'!$S$27="","",REPT("█",MAX(1,MIN(15,ROUND('KPI Data'!$S$27*12,0)))))</f>
        <v/>
      </c>
      <c r="S32" s="43"/>
    </row>
    <row r="33" spans="2:19" ht="16.5" customHeight="1" x14ac:dyDescent="0.35">
      <c r="B33" s="98" t="s">
        <v>100</v>
      </c>
      <c r="C33" s="98"/>
      <c r="D33" s="98"/>
      <c r="E33" s="98"/>
      <c r="F33" s="98"/>
      <c r="G33" s="98"/>
      <c r="H33" s="103">
        <f>'KPI Data'!$N$28</f>
        <v>0.77852348993288589</v>
      </c>
      <c r="I33" s="103"/>
      <c r="J33" s="104" t="str">
        <f>'KPI Data'!$Q$28</f>
        <v/>
      </c>
      <c r="K33" s="104"/>
      <c r="L33" s="40" t="str">
        <f>'KPI Data'!$R$28</f>
        <v>Context</v>
      </c>
      <c r="M33" s="105" t="str">
        <f>IF(OR($H33="",$J33=""),"",$H33-$J33)</f>
        <v/>
      </c>
      <c r="N33" s="105"/>
      <c r="O33" s="102" t="str">
        <f>IF($H33="",IF('KPI Data'!$Y$28=1,"N/M","Incomplete inputs"),IF(AND($L33&lt;&gt;"Higher",$L33&lt;&gt;"Lower"),"Monitor",IF($J33="","Set target",IF(IF($L33="Lower",$H33&lt;=$J33,$H33&gt;=$J33),"On Track",IF(IF($L33="Lower",$H33&lt;=$J33+ABS($J33)*Tolerance,$H33&gt;=$J33-ABS($J33)*Tolerance),"Watch","Action")))))</f>
        <v>Monitor</v>
      </c>
      <c r="P33" s="102"/>
      <c r="Q33" s="41" t="str">
        <f>IF(OR('KPI Data'!$N$28="",'KPI Data'!$O$28=""),"",IF('KPI Data'!$N$28&gt;'KPI Data'!$O$28,"▲",IF('KPI Data'!$N$28&lt;'KPI Data'!$O$28,"▼","▬")))</f>
        <v>▼</v>
      </c>
      <c r="R33" s="42" t="str">
        <f>IF('KPI Data'!$S$28="","",REPT("█",MAX(1,MIN(15,ROUND('KPI Data'!$S$28*12,0)))))</f>
        <v/>
      </c>
      <c r="S33" s="43"/>
    </row>
    <row r="35" spans="2:19" ht="19.5" customHeight="1" x14ac:dyDescent="0.35">
      <c r="B35" s="11" t="s">
        <v>101</v>
      </c>
      <c r="C35" s="11"/>
      <c r="D35" s="11"/>
      <c r="E35" s="11"/>
      <c r="F35" s="11"/>
      <c r="G35" s="11"/>
      <c r="H35" s="11"/>
      <c r="I35" s="11"/>
      <c r="J35" s="11"/>
      <c r="K35" s="11"/>
      <c r="L35" s="11"/>
      <c r="M35" s="11"/>
      <c r="N35" s="11"/>
      <c r="O35" s="11"/>
      <c r="P35" s="11"/>
      <c r="Q35" s="11"/>
      <c r="R35" s="11"/>
      <c r="S35" s="11"/>
    </row>
    <row r="36" spans="2:19" ht="16.5" customHeight="1" x14ac:dyDescent="0.35">
      <c r="B36" s="98" t="s">
        <v>102</v>
      </c>
      <c r="C36" s="98"/>
      <c r="D36" s="98"/>
      <c r="E36" s="98"/>
      <c r="F36" s="98"/>
      <c r="G36" s="98"/>
      <c r="H36" s="103">
        <f>'KPI Data'!$N$31</f>
        <v>0.68229166666666663</v>
      </c>
      <c r="I36" s="103"/>
      <c r="J36" s="104">
        <f>'KPI Data'!$Q$31</f>
        <v>0.7</v>
      </c>
      <c r="K36" s="104"/>
      <c r="L36" s="40" t="str">
        <f>'KPI Data'!$R$31</f>
        <v>Higher</v>
      </c>
      <c r="M36" s="105">
        <f>IF(OR($H36="",$J36=""),"",$H36-$J36)</f>
        <v>-1.7708333333333326E-2</v>
      </c>
      <c r="N36" s="105"/>
      <c r="O36" s="102" t="str">
        <f>IF($H36="",IF('KPI Data'!$Y$31=1,"N/M","Incomplete inputs"),IF(AND($L36&lt;&gt;"Higher",$L36&lt;&gt;"Lower"),"Monitor",IF($J36="","Set target",IF(IF($L36="Lower",$H36&lt;=$J36,$H36&gt;=$J36),"On Track",IF(IF($L36="Lower",$H36&lt;=$J36+ABS($J36)*Tolerance,$H36&gt;=$J36-ABS($J36)*Tolerance),"Watch","Action")))))</f>
        <v>Watch</v>
      </c>
      <c r="P36" s="102"/>
      <c r="Q36" s="41" t="str">
        <f>IF(OR('KPI Data'!$N$31="",'KPI Data'!$O$31=""),"",IF('KPI Data'!$N$31&gt;'KPI Data'!$O$31,"▲",IF('KPI Data'!$N$31&lt;'KPI Data'!$O$31,"▼","▬")))</f>
        <v>▼</v>
      </c>
      <c r="R36" s="42" t="str">
        <f>IF('KPI Data'!$S$31="","",REPT("█",MAX(1,MIN(15,ROUND('KPI Data'!$S$31*12,0)))))</f>
        <v>████████████</v>
      </c>
      <c r="S36" s="43"/>
    </row>
    <row r="37" spans="2:19" ht="16.5" customHeight="1" x14ac:dyDescent="0.35">
      <c r="B37" s="98" t="s">
        <v>103</v>
      </c>
      <c r="C37" s="98"/>
      <c r="D37" s="98"/>
      <c r="E37" s="98"/>
      <c r="F37" s="98"/>
      <c r="G37" s="98"/>
      <c r="H37" s="103">
        <f>'KPI Data'!$N$32</f>
        <v>0.12666666666666668</v>
      </c>
      <c r="I37" s="103"/>
      <c r="J37" s="104" t="str">
        <f>'KPI Data'!$Q$32</f>
        <v/>
      </c>
      <c r="K37" s="104"/>
      <c r="L37" s="40" t="str">
        <f>'KPI Data'!$R$32</f>
        <v>Context</v>
      </c>
      <c r="M37" s="105" t="str">
        <f>IF(OR($H37="",$J37=""),"",$H37-$J37)</f>
        <v/>
      </c>
      <c r="N37" s="105"/>
      <c r="O37" s="102" t="str">
        <f>IF($H37="",IF('KPI Data'!$Y$32=1,"N/M","Incomplete inputs"),IF(AND($L37&lt;&gt;"Higher",$L37&lt;&gt;"Lower"),"Monitor",IF($J37="","Set target",IF(IF($L37="Lower",$H37&lt;=$J37,$H37&gt;=$J37),"On Track",IF(IF($L37="Lower",$H37&lt;=$J37+ABS($J37)*Tolerance,$H37&gt;=$J37-ABS($J37)*Tolerance),"Watch","Action")))))</f>
        <v>Monitor</v>
      </c>
      <c r="P37" s="102"/>
      <c r="Q37" s="41" t="str">
        <f>IF(OR('KPI Data'!$N$32="",'KPI Data'!$O$32=""),"",IF('KPI Data'!$N$32&gt;'KPI Data'!$O$32,"▲",IF('KPI Data'!$N$32&lt;'KPI Data'!$O$32,"▼","▬")))</f>
        <v>▼</v>
      </c>
      <c r="R37" s="42" t="str">
        <f>IF('KPI Data'!$S$32="","",REPT("█",MAX(1,MIN(15,ROUND('KPI Data'!$S$32*12,0)))))</f>
        <v/>
      </c>
      <c r="S37" s="43"/>
    </row>
    <row r="39" spans="2:19" ht="19.5" customHeight="1" x14ac:dyDescent="0.35">
      <c r="B39" s="11" t="s">
        <v>104</v>
      </c>
      <c r="C39" s="11"/>
      <c r="D39" s="11"/>
      <c r="E39" s="11"/>
      <c r="F39" s="11"/>
      <c r="G39" s="11"/>
      <c r="H39" s="11"/>
      <c r="I39" s="11"/>
      <c r="J39" s="11"/>
      <c r="K39" s="11"/>
      <c r="L39" s="11"/>
      <c r="M39" s="11"/>
      <c r="N39" s="11"/>
      <c r="O39" s="11"/>
      <c r="P39" s="11"/>
      <c r="Q39" s="11"/>
      <c r="R39" s="11"/>
      <c r="S39" s="11"/>
    </row>
    <row r="40" spans="2:19" ht="16.5" customHeight="1" x14ac:dyDescent="0.35">
      <c r="B40" s="98" t="s">
        <v>105</v>
      </c>
      <c r="C40" s="98"/>
      <c r="D40" s="98"/>
      <c r="E40" s="98"/>
      <c r="F40" s="98"/>
      <c r="G40" s="98"/>
      <c r="H40" s="103">
        <f>'KPI Data'!$N$35</f>
        <v>0.55779816513761471</v>
      </c>
      <c r="I40" s="103"/>
      <c r="J40" s="104">
        <f>'KPI Data'!$Q$35</f>
        <v>0.55000000000000004</v>
      </c>
      <c r="K40" s="104"/>
      <c r="L40" s="40" t="str">
        <f>'KPI Data'!$R$35</f>
        <v>Lower</v>
      </c>
      <c r="M40" s="105">
        <f>IF(OR($H40="",$J40=""),"",$H40-$J40)</f>
        <v>7.7981651376146655E-3</v>
      </c>
      <c r="N40" s="105"/>
      <c r="O40" s="102" t="str">
        <f>IF($H40="",IF('KPI Data'!$Y$35=1,"N/M","Incomplete inputs"),IF(AND($L40&lt;&gt;"Higher",$L40&lt;&gt;"Lower"),"Monitor",IF($J40="","Set target",IF(IF($L40="Lower",$H40&lt;=$J40,$H40&gt;=$J40),"On Track",IF(IF($L40="Lower",$H40&lt;=$J40+ABS($J40)*Tolerance,$H40&gt;=$J40-ABS($J40)*Tolerance),"Watch","Action")))))</f>
        <v>Watch</v>
      </c>
      <c r="P40" s="102"/>
      <c r="Q40" s="41" t="str">
        <f>IF(OR('KPI Data'!$N$35="",'KPI Data'!$O$35=""),"",IF('KPI Data'!$N$35&gt;'KPI Data'!$O$35,"▲",IF('KPI Data'!$N$35&lt;'KPI Data'!$O$35,"▼","▬")))</f>
        <v>▲</v>
      </c>
      <c r="R40" s="42" t="str">
        <f>IF('KPI Data'!$S$35="","",REPT("█",MAX(1,MIN(15,ROUND('KPI Data'!$S$35*12,0)))))</f>
        <v>████████████</v>
      </c>
      <c r="S40" s="43"/>
    </row>
    <row r="41" spans="2:19" ht="16.5" customHeight="1" x14ac:dyDescent="0.35">
      <c r="B41" s="98" t="s">
        <v>106</v>
      </c>
      <c r="C41" s="98"/>
      <c r="D41" s="98"/>
      <c r="E41" s="98"/>
      <c r="F41" s="98"/>
      <c r="G41" s="98"/>
      <c r="H41" s="103">
        <f>'KPI Data'!$N$36</f>
        <v>2.0183486238532111E-2</v>
      </c>
      <c r="I41" s="103"/>
      <c r="J41" s="104" t="str">
        <f>'KPI Data'!$Q$36</f>
        <v/>
      </c>
      <c r="K41" s="104"/>
      <c r="L41" s="40" t="str">
        <f>'KPI Data'!$R$36</f>
        <v>Context</v>
      </c>
      <c r="M41" s="105" t="str">
        <f>IF(OR($H41="",$J41=""),"",$H41-$J41)</f>
        <v/>
      </c>
      <c r="N41" s="105"/>
      <c r="O41" s="102" t="str">
        <f>IF($H41="",IF('KPI Data'!$Y$36=1,"N/M","Incomplete inputs"),IF(AND($L41&lt;&gt;"Higher",$L41&lt;&gt;"Lower"),"Monitor",IF($J41="","Set target",IF(IF($L41="Lower",$H41&lt;=$J41,$H41&gt;=$J41),"On Track",IF(IF($L41="Lower",$H41&lt;=$J41+ABS($J41)*Tolerance,$H41&gt;=$J41-ABS($J41)*Tolerance),"Watch","Action")))))</f>
        <v>Monitor</v>
      </c>
      <c r="P41" s="102"/>
      <c r="Q41" s="41" t="str">
        <f>IF(OR('KPI Data'!$N$36="",'KPI Data'!$O$36=""),"",IF('KPI Data'!$N$36&gt;'KPI Data'!$O$36,"▲",IF('KPI Data'!$N$36&lt;'KPI Data'!$O$36,"▼","▬")))</f>
        <v>▼</v>
      </c>
      <c r="R41" s="42" t="str">
        <f>IF('KPI Data'!$S$36="","",REPT("█",MAX(1,MIN(15,ROUND('KPI Data'!$S$36*12,0)))))</f>
        <v/>
      </c>
      <c r="S41" s="43"/>
    </row>
    <row r="42" spans="2:19" ht="16.5" customHeight="1" x14ac:dyDescent="0.35">
      <c r="B42" s="98" t="s">
        <v>107</v>
      </c>
      <c r="C42" s="98"/>
      <c r="D42" s="98"/>
      <c r="E42" s="98"/>
      <c r="F42" s="98"/>
      <c r="G42" s="98"/>
      <c r="H42" s="103">
        <f>'KPI Data'!$N$37</f>
        <v>0.12844036697247707</v>
      </c>
      <c r="I42" s="103"/>
      <c r="J42" s="104" t="str">
        <f>'KPI Data'!$Q$37</f>
        <v/>
      </c>
      <c r="K42" s="104"/>
      <c r="L42" s="40" t="str">
        <f>'KPI Data'!$R$37</f>
        <v>Context</v>
      </c>
      <c r="M42" s="105" t="str">
        <f>IF(OR($H42="",$J42=""),"",$H42-$J42)</f>
        <v/>
      </c>
      <c r="N42" s="105"/>
      <c r="O42" s="102" t="str">
        <f>IF($H42="",IF('KPI Data'!$Y$37=1,"N/M","Incomplete inputs"),IF(AND($L42&lt;&gt;"Higher",$L42&lt;&gt;"Lower"),"Monitor",IF($J42="","Set target",IF(IF($L42="Lower",$H42&lt;=$J42,$H42&gt;=$J42),"On Track",IF(IF($L42="Lower",$H42&lt;=$J42+ABS($J42)*Tolerance,$H42&gt;=$J42-ABS($J42)*Tolerance),"Watch","Action")))))</f>
        <v>Monitor</v>
      </c>
      <c r="P42" s="102"/>
      <c r="Q42" s="41" t="str">
        <f>IF(OR('KPI Data'!$N$37="",'KPI Data'!$O$37=""),"",IF('KPI Data'!$N$37&gt;'KPI Data'!$O$37,"▲",IF('KPI Data'!$N$37&lt;'KPI Data'!$O$37,"▼","▬")))</f>
        <v>▲</v>
      </c>
      <c r="R42" s="42" t="str">
        <f>IF('KPI Data'!$S$37="","",REPT("█",MAX(1,MIN(15,ROUND('KPI Data'!$S$37*12,0)))))</f>
        <v/>
      </c>
      <c r="S42" s="43"/>
    </row>
    <row r="44" spans="2:19" ht="49.5" customHeight="1" x14ac:dyDescent="0.35">
      <c r="B44" s="115" t="s">
        <v>108</v>
      </c>
      <c r="C44" s="115"/>
      <c r="D44" s="115"/>
      <c r="E44" s="115"/>
      <c r="F44" s="115"/>
      <c r="G44" s="115"/>
      <c r="H44" s="115"/>
      <c r="I44" s="115"/>
      <c r="J44" s="115"/>
      <c r="K44" s="115"/>
      <c r="L44" s="115"/>
      <c r="M44" s="115"/>
      <c r="N44" s="115"/>
      <c r="O44" s="115"/>
      <c r="P44" s="115"/>
      <c r="Q44" s="115"/>
      <c r="R44" s="115"/>
      <c r="S44" s="115"/>
    </row>
    <row r="45" spans="2:19" ht="15" customHeight="1" x14ac:dyDescent="0.35"/>
    <row r="46" spans="2:19" ht="15" customHeight="1" x14ac:dyDescent="0.35"/>
    <row r="47" spans="2:19" ht="15" customHeight="1" x14ac:dyDescent="0.35"/>
    <row r="48" spans="2:19" ht="15" customHeight="1" x14ac:dyDescent="0.35"/>
    <row r="49" ht="15" customHeight="1" x14ac:dyDescent="0.35"/>
    <row r="50" ht="15" customHeight="1" x14ac:dyDescent="0.35"/>
    <row r="51" ht="15" customHeight="1" x14ac:dyDescent="0.35"/>
    <row r="52" ht="15" customHeight="1" x14ac:dyDescent="0.35"/>
    <row r="53" ht="15" customHeight="1" x14ac:dyDescent="0.35"/>
    <row r="54" ht="15" customHeight="1" x14ac:dyDescent="0.35"/>
    <row r="55" ht="15" customHeight="1" x14ac:dyDescent="0.35"/>
    <row r="56" ht="15" customHeight="1" x14ac:dyDescent="0.35"/>
    <row r="57" ht="15" customHeight="1" x14ac:dyDescent="0.35"/>
    <row r="58" ht="15" customHeight="1" x14ac:dyDescent="0.35"/>
    <row r="59" ht="15" customHeight="1" x14ac:dyDescent="0.35"/>
    <row r="60" ht="15" customHeight="1" x14ac:dyDescent="0.35"/>
    <row r="61" ht="15" customHeight="1" x14ac:dyDescent="0.35"/>
    <row r="62" ht="15" customHeight="1" x14ac:dyDescent="0.35"/>
    <row r="63" ht="15" customHeight="1" x14ac:dyDescent="0.35"/>
    <row r="64" ht="15" customHeight="1" x14ac:dyDescent="0.35"/>
    <row r="65" spans="2:19" ht="15" customHeight="1" x14ac:dyDescent="0.35"/>
    <row r="66" spans="2:19" ht="15" customHeight="1" x14ac:dyDescent="0.35"/>
    <row r="67" spans="2:19" ht="15" customHeight="1" x14ac:dyDescent="0.35"/>
    <row r="68" spans="2:19" ht="15" customHeight="1" x14ac:dyDescent="0.35"/>
    <row r="69" spans="2:19" ht="15" customHeight="1" x14ac:dyDescent="0.35"/>
    <row r="70" spans="2:19" ht="15" customHeight="1" x14ac:dyDescent="0.35"/>
    <row r="71" spans="2:19" ht="15" customHeight="1" x14ac:dyDescent="0.35"/>
    <row r="72" spans="2:19" ht="15" customHeight="1" x14ac:dyDescent="0.35"/>
    <row r="73" spans="2:19" ht="15" customHeight="1" x14ac:dyDescent="0.35"/>
    <row r="74" spans="2:19" ht="15" customHeight="1" x14ac:dyDescent="0.35"/>
    <row r="75" spans="2:19" ht="15" customHeight="1" x14ac:dyDescent="0.35"/>
    <row r="76" spans="2:19" ht="15" customHeight="1" x14ac:dyDescent="0.35"/>
    <row r="77" spans="2:19" ht="15" customHeight="1" x14ac:dyDescent="0.35"/>
    <row r="78" spans="2:19" ht="15" customHeight="1" x14ac:dyDescent="0.35"/>
    <row r="79" spans="2:19" ht="18" customHeight="1" x14ac:dyDescent="0.35">
      <c r="B79" s="116" t="s">
        <v>109</v>
      </c>
      <c r="C79" s="116"/>
      <c r="D79" s="116"/>
      <c r="E79" s="116"/>
      <c r="F79" s="116"/>
      <c r="G79" s="116"/>
      <c r="H79" s="116"/>
      <c r="I79" s="116"/>
      <c r="J79" s="116"/>
      <c r="K79" s="116"/>
      <c r="L79" s="116"/>
      <c r="M79" s="116"/>
      <c r="N79" s="116"/>
      <c r="O79" s="116"/>
      <c r="P79" s="116"/>
      <c r="Q79" s="116"/>
      <c r="R79" s="116"/>
      <c r="S79" s="116"/>
    </row>
  </sheetData>
  <sheetProtection sheet="1"/>
  <mergeCells count="140">
    <mergeCell ref="B44:S44"/>
    <mergeCell ref="B79:S79"/>
    <mergeCell ref="B41:G41"/>
    <mergeCell ref="H41:I41"/>
    <mergeCell ref="J41:K41"/>
    <mergeCell ref="M41:N41"/>
    <mergeCell ref="O41:P41"/>
    <mergeCell ref="B42:G42"/>
    <mergeCell ref="H42:I42"/>
    <mergeCell ref="J42:K42"/>
    <mergeCell ref="M42:N42"/>
    <mergeCell ref="O42:P42"/>
    <mergeCell ref="B37:G37"/>
    <mergeCell ref="H37:I37"/>
    <mergeCell ref="J37:K37"/>
    <mergeCell ref="M37:N37"/>
    <mergeCell ref="O37:P37"/>
    <mergeCell ref="B39:S39"/>
    <mergeCell ref="B40:G40"/>
    <mergeCell ref="H40:I40"/>
    <mergeCell ref="J40:K40"/>
    <mergeCell ref="M40:N40"/>
    <mergeCell ref="O40:P40"/>
    <mergeCell ref="B33:G33"/>
    <mergeCell ref="H33:I33"/>
    <mergeCell ref="J33:K33"/>
    <mergeCell ref="M33:N33"/>
    <mergeCell ref="O33:P33"/>
    <mergeCell ref="B35:S35"/>
    <mergeCell ref="B36:G36"/>
    <mergeCell ref="H36:I36"/>
    <mergeCell ref="J36:K36"/>
    <mergeCell ref="M36:N36"/>
    <mergeCell ref="O36:P36"/>
    <mergeCell ref="B31:G31"/>
    <mergeCell ref="H31:I31"/>
    <mergeCell ref="J31:K31"/>
    <mergeCell ref="M31:N31"/>
    <mergeCell ref="O31:P31"/>
    <mergeCell ref="B32:G32"/>
    <mergeCell ref="H32:I32"/>
    <mergeCell ref="J32:K32"/>
    <mergeCell ref="M32:N32"/>
    <mergeCell ref="O32:P32"/>
    <mergeCell ref="B28:S28"/>
    <mergeCell ref="B29:G29"/>
    <mergeCell ref="H29:I29"/>
    <mergeCell ref="J29:K29"/>
    <mergeCell ref="M29:N29"/>
    <mergeCell ref="O29:P29"/>
    <mergeCell ref="B30:G30"/>
    <mergeCell ref="H30:I30"/>
    <mergeCell ref="J30:K30"/>
    <mergeCell ref="M30:N30"/>
    <mergeCell ref="O30:P30"/>
    <mergeCell ref="B25:G25"/>
    <mergeCell ref="H25:I25"/>
    <mergeCell ref="J25:K25"/>
    <mergeCell ref="M25:N25"/>
    <mergeCell ref="O25:P25"/>
    <mergeCell ref="B26:G26"/>
    <mergeCell ref="H26:I26"/>
    <mergeCell ref="J26:K26"/>
    <mergeCell ref="M26:N26"/>
    <mergeCell ref="O26:P26"/>
    <mergeCell ref="B23:G23"/>
    <mergeCell ref="H23:I23"/>
    <mergeCell ref="J23:K23"/>
    <mergeCell ref="M23:N23"/>
    <mergeCell ref="O23:P23"/>
    <mergeCell ref="B24:G24"/>
    <mergeCell ref="H24:I24"/>
    <mergeCell ref="J24:K24"/>
    <mergeCell ref="M24:N24"/>
    <mergeCell ref="O24:P24"/>
    <mergeCell ref="B20:S20"/>
    <mergeCell ref="B21:G21"/>
    <mergeCell ref="H21:I21"/>
    <mergeCell ref="J21:K21"/>
    <mergeCell ref="M21:N21"/>
    <mergeCell ref="O21:P21"/>
    <mergeCell ref="B22:G22"/>
    <mergeCell ref="H22:I22"/>
    <mergeCell ref="J22:K22"/>
    <mergeCell ref="M22:N22"/>
    <mergeCell ref="O22:P22"/>
    <mergeCell ref="B17:G17"/>
    <mergeCell ref="H17:I17"/>
    <mergeCell ref="J17:K17"/>
    <mergeCell ref="M17:N17"/>
    <mergeCell ref="O17:P17"/>
    <mergeCell ref="B18:G18"/>
    <mergeCell ref="H18:I18"/>
    <mergeCell ref="J18:K18"/>
    <mergeCell ref="M18:N18"/>
    <mergeCell ref="O18:P18"/>
    <mergeCell ref="B15:G15"/>
    <mergeCell ref="H15:I15"/>
    <mergeCell ref="J15:K15"/>
    <mergeCell ref="M15:N15"/>
    <mergeCell ref="O15:P15"/>
    <mergeCell ref="B16:G16"/>
    <mergeCell ref="H16:I16"/>
    <mergeCell ref="J16:K16"/>
    <mergeCell ref="M16:N16"/>
    <mergeCell ref="O16:P16"/>
    <mergeCell ref="B11:S11"/>
    <mergeCell ref="B12:G12"/>
    <mergeCell ref="H12:I12"/>
    <mergeCell ref="J12:K12"/>
    <mergeCell ref="M12:N12"/>
    <mergeCell ref="O12:P12"/>
    <mergeCell ref="R12:S12"/>
    <mergeCell ref="B13:S13"/>
    <mergeCell ref="B14:G14"/>
    <mergeCell ref="H14:I14"/>
    <mergeCell ref="J14:K14"/>
    <mergeCell ref="M14:N14"/>
    <mergeCell ref="O14:P14"/>
    <mergeCell ref="B7:D7"/>
    <mergeCell ref="E7:G7"/>
    <mergeCell ref="H7:J7"/>
    <mergeCell ref="K7:M7"/>
    <mergeCell ref="N7:P7"/>
    <mergeCell ref="Q7:S7"/>
    <mergeCell ref="B8:D8"/>
    <mergeCell ref="E8:G8"/>
    <mergeCell ref="H8:J8"/>
    <mergeCell ref="K8:M8"/>
    <mergeCell ref="N8:P8"/>
    <mergeCell ref="Q8:S8"/>
    <mergeCell ref="A1:T1"/>
    <mergeCell ref="A2:T2"/>
    <mergeCell ref="B4:S4"/>
    <mergeCell ref="B6:D6"/>
    <mergeCell ref="E6:G6"/>
    <mergeCell ref="H6:J6"/>
    <mergeCell ref="K6:M6"/>
    <mergeCell ref="N6:P6"/>
    <mergeCell ref="Q6:S6"/>
  </mergeCells>
  <conditionalFormatting sqref="O13:P42">
    <cfRule type="cellIs" dxfId="16" priority="2" operator="equal">
      <formula>"On Track"</formula>
    </cfRule>
    <cfRule type="cellIs" dxfId="15" priority="3" operator="equal">
      <formula>"Watch"</formula>
    </cfRule>
    <cfRule type="cellIs" dxfId="14" priority="4" operator="equal">
      <formula>"Action"</formula>
    </cfRule>
    <cfRule type="cellIs" dxfId="13" priority="5" operator="equal">
      <formula>"Set target"</formula>
    </cfRule>
    <cfRule type="cellIs" dxfId="12" priority="6" operator="equal">
      <formula>"N/M"</formula>
    </cfRule>
    <cfRule type="cellIs" dxfId="11" priority="7" operator="equal">
      <formula>"Incomplete inputs"</formula>
    </cfRule>
  </conditionalFormatting>
  <conditionalFormatting sqref="Q13:Q42">
    <cfRule type="expression" dxfId="10" priority="8">
      <formula>OR(AND($Q13="▲",$L13="Higher"),AND($Q13="▼",$L13="Lower"))</formula>
    </cfRule>
    <cfRule type="expression" dxfId="9" priority="9">
      <formula>OR(AND($Q13="▼",$L13="Higher"),AND($Q13="▲",$L13="Lower"))</formula>
    </cfRule>
  </conditionalFormatting>
  <conditionalFormatting sqref="R13:R42">
    <cfRule type="expression" dxfId="8" priority="10">
      <formula>$O13="On Track"</formula>
    </cfRule>
    <cfRule type="expression" dxfId="7" priority="11">
      <formula>$O13="Watch"</formula>
    </cfRule>
    <cfRule type="expression" dxfId="6" priority="12">
      <formula>$O13="Action"</formula>
    </cfRule>
  </conditionalFormatting>
  <pageMargins left="0.3" right="0.3" top="0.3" bottom="0.3" header="0.511811023622047" footer="0.511811023622047"/>
  <pageSetup fitToHeight="0" orientation="landscape" horizontalDpi="300" verticalDpi="300"/>
  <rowBreaks count="1" manualBreakCount="1">
    <brk id="44" max="16383" man="1"/>
  </rowBreaks>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32"/>
  <sheetViews>
    <sheetView showGridLines="0" zoomScaleNormal="100" workbookViewId="0">
      <pane xSplit="1" ySplit="6" topLeftCell="B13" activePane="bottomRight" state="frozen"/>
      <selection pane="topRight" activeCell="B1" sqref="B1"/>
      <selection pane="bottomLeft" activeCell="A7" sqref="A7"/>
      <selection pane="bottomRight" sqref="A1:G1"/>
    </sheetView>
  </sheetViews>
  <sheetFormatPr defaultColWidth="8.6328125" defaultRowHeight="14.5" x14ac:dyDescent="0.35"/>
  <cols>
    <col min="1" max="1" width="2.453125" customWidth="1"/>
    <col min="2" max="2" width="30" customWidth="1"/>
    <col min="3" max="3" width="50" customWidth="1"/>
    <col min="4" max="4" width="34" customWidth="1"/>
    <col min="5" max="5" width="54" customWidth="1"/>
    <col min="6" max="6" width="40" customWidth="1"/>
    <col min="7" max="7" width="2.453125" customWidth="1"/>
  </cols>
  <sheetData>
    <row r="1" spans="1:7" ht="31.5" customHeight="1" x14ac:dyDescent="0.35">
      <c r="A1" s="14" t="s">
        <v>0</v>
      </c>
      <c r="B1" s="14"/>
      <c r="C1" s="14"/>
      <c r="D1" s="14"/>
      <c r="E1" s="14"/>
      <c r="F1" s="14"/>
      <c r="G1" s="14"/>
    </row>
    <row r="2" spans="1:7" ht="24" customHeight="1" x14ac:dyDescent="0.35">
      <c r="A2" s="13" t="s">
        <v>110</v>
      </c>
      <c r="B2" s="13"/>
      <c r="C2" s="13"/>
      <c r="D2" s="13"/>
      <c r="E2" s="13"/>
      <c r="F2" s="13"/>
      <c r="G2" s="13"/>
    </row>
    <row r="4" spans="1:7" ht="30" customHeight="1" x14ac:dyDescent="0.35">
      <c r="B4" s="117" t="s">
        <v>111</v>
      </c>
      <c r="C4" s="117"/>
      <c r="D4" s="117"/>
      <c r="E4" s="117"/>
      <c r="F4" s="117"/>
    </row>
    <row r="6" spans="1:7" ht="25.5" customHeight="1" x14ac:dyDescent="0.35">
      <c r="B6" s="31" t="s">
        <v>75</v>
      </c>
      <c r="C6" s="32" t="s">
        <v>112</v>
      </c>
      <c r="D6" s="32" t="s">
        <v>113</v>
      </c>
      <c r="E6" s="32" t="s">
        <v>114</v>
      </c>
      <c r="F6" s="32" t="s">
        <v>115</v>
      </c>
    </row>
    <row r="7" spans="1:7" ht="19.5" customHeight="1" x14ac:dyDescent="0.35">
      <c r="B7" s="11" t="s">
        <v>83</v>
      </c>
      <c r="C7" s="11"/>
      <c r="D7" s="11"/>
      <c r="E7" s="11"/>
      <c r="F7" s="11"/>
    </row>
    <row r="8" spans="1:7" ht="46.5" customHeight="1" x14ac:dyDescent="0.35">
      <c r="B8" s="44" t="s">
        <v>84</v>
      </c>
      <c r="C8" s="45" t="s">
        <v>116</v>
      </c>
      <c r="D8" s="46" t="s">
        <v>117</v>
      </c>
      <c r="E8" s="45" t="s">
        <v>118</v>
      </c>
      <c r="F8" s="45" t="s">
        <v>119</v>
      </c>
    </row>
    <row r="9" spans="1:7" ht="46.5" customHeight="1" x14ac:dyDescent="0.35">
      <c r="B9" s="44" t="s">
        <v>85</v>
      </c>
      <c r="C9" s="45" t="s">
        <v>120</v>
      </c>
      <c r="D9" s="46" t="s">
        <v>121</v>
      </c>
      <c r="E9" s="45" t="s">
        <v>122</v>
      </c>
      <c r="F9" s="45" t="s">
        <v>123</v>
      </c>
    </row>
    <row r="10" spans="1:7" ht="60" customHeight="1" x14ac:dyDescent="0.35">
      <c r="B10" s="44" t="s">
        <v>86</v>
      </c>
      <c r="C10" s="45" t="s">
        <v>124</v>
      </c>
      <c r="D10" s="46" t="s">
        <v>125</v>
      </c>
      <c r="E10" s="45" t="s">
        <v>126</v>
      </c>
      <c r="F10" s="45" t="s">
        <v>127</v>
      </c>
    </row>
    <row r="11" spans="1:7" ht="54" customHeight="1" x14ac:dyDescent="0.35">
      <c r="B11" s="44" t="s">
        <v>87</v>
      </c>
      <c r="C11" s="45" t="s">
        <v>128</v>
      </c>
      <c r="D11" s="46" t="s">
        <v>129</v>
      </c>
      <c r="E11" s="45" t="s">
        <v>130</v>
      </c>
      <c r="F11" s="45" t="s">
        <v>131</v>
      </c>
    </row>
    <row r="12" spans="1:7" ht="46.5" customHeight="1" x14ac:dyDescent="0.35">
      <c r="B12" s="44" t="s">
        <v>88</v>
      </c>
      <c r="C12" s="45" t="s">
        <v>132</v>
      </c>
      <c r="D12" s="46" t="s">
        <v>133</v>
      </c>
      <c r="E12" s="45" t="s">
        <v>134</v>
      </c>
      <c r="F12" s="45" t="s">
        <v>135</v>
      </c>
    </row>
    <row r="13" spans="1:7" ht="19.5" customHeight="1" x14ac:dyDescent="0.35">
      <c r="B13" s="11" t="s">
        <v>61</v>
      </c>
      <c r="C13" s="11"/>
      <c r="D13" s="11"/>
      <c r="E13" s="11"/>
      <c r="F13" s="11"/>
    </row>
    <row r="14" spans="1:7" ht="33.75" customHeight="1" x14ac:dyDescent="0.35">
      <c r="B14" s="44" t="s">
        <v>89</v>
      </c>
      <c r="C14" s="45" t="s">
        <v>136</v>
      </c>
      <c r="D14" s="46" t="s">
        <v>137</v>
      </c>
      <c r="E14" s="45" t="s">
        <v>138</v>
      </c>
      <c r="F14" s="45" t="s">
        <v>139</v>
      </c>
    </row>
    <row r="15" spans="1:7" ht="54" customHeight="1" x14ac:dyDescent="0.35">
      <c r="B15" s="44" t="s">
        <v>90</v>
      </c>
      <c r="C15" s="45" t="s">
        <v>140</v>
      </c>
      <c r="D15" s="46" t="s">
        <v>141</v>
      </c>
      <c r="E15" s="45" t="s">
        <v>142</v>
      </c>
      <c r="F15" s="45" t="s">
        <v>143</v>
      </c>
    </row>
    <row r="16" spans="1:7" ht="46.5" customHeight="1" x14ac:dyDescent="0.35">
      <c r="B16" s="44" t="s">
        <v>91</v>
      </c>
      <c r="C16" s="45" t="s">
        <v>144</v>
      </c>
      <c r="D16" s="46" t="s">
        <v>145</v>
      </c>
      <c r="E16" s="45" t="s">
        <v>146</v>
      </c>
      <c r="F16" s="45" t="s">
        <v>147</v>
      </c>
    </row>
    <row r="17" spans="2:6" ht="33.75" customHeight="1" x14ac:dyDescent="0.35">
      <c r="B17" s="44" t="s">
        <v>92</v>
      </c>
      <c r="C17" s="45" t="s">
        <v>148</v>
      </c>
      <c r="D17" s="46" t="s">
        <v>149</v>
      </c>
      <c r="E17" s="45" t="s">
        <v>150</v>
      </c>
      <c r="F17" s="45" t="s">
        <v>151</v>
      </c>
    </row>
    <row r="18" spans="2:6" ht="46.5" customHeight="1" x14ac:dyDescent="0.35">
      <c r="B18" s="44" t="s">
        <v>93</v>
      </c>
      <c r="C18" s="45" t="s">
        <v>152</v>
      </c>
      <c r="D18" s="46" t="s">
        <v>153</v>
      </c>
      <c r="E18" s="45" t="s">
        <v>154</v>
      </c>
      <c r="F18" s="45" t="s">
        <v>155</v>
      </c>
    </row>
    <row r="19" spans="2:6" ht="46.5" customHeight="1" x14ac:dyDescent="0.35">
      <c r="B19" s="44" t="s">
        <v>94</v>
      </c>
      <c r="C19" s="45" t="s">
        <v>156</v>
      </c>
      <c r="D19" s="46" t="s">
        <v>157</v>
      </c>
      <c r="E19" s="45" t="s">
        <v>158</v>
      </c>
      <c r="F19" s="45" t="s">
        <v>159</v>
      </c>
    </row>
    <row r="20" spans="2:6" ht="19.5" customHeight="1" x14ac:dyDescent="0.35">
      <c r="B20" s="11" t="s">
        <v>95</v>
      </c>
      <c r="C20" s="11"/>
      <c r="D20" s="11"/>
      <c r="E20" s="11"/>
      <c r="F20" s="11"/>
    </row>
    <row r="21" spans="2:6" ht="33.75" customHeight="1" x14ac:dyDescent="0.35">
      <c r="B21" s="44" t="s">
        <v>96</v>
      </c>
      <c r="C21" s="45" t="s">
        <v>160</v>
      </c>
      <c r="D21" s="46" t="s">
        <v>161</v>
      </c>
      <c r="E21" s="45" t="s">
        <v>162</v>
      </c>
      <c r="F21" s="45" t="s">
        <v>163</v>
      </c>
    </row>
    <row r="22" spans="2:6" ht="46.5" customHeight="1" x14ac:dyDescent="0.35">
      <c r="B22" s="44" t="s">
        <v>97</v>
      </c>
      <c r="C22" s="45" t="s">
        <v>164</v>
      </c>
      <c r="D22" s="46" t="s">
        <v>165</v>
      </c>
      <c r="E22" s="45" t="s">
        <v>166</v>
      </c>
      <c r="F22" s="45" t="s">
        <v>167</v>
      </c>
    </row>
    <row r="23" spans="2:6" ht="46.5" customHeight="1" x14ac:dyDescent="0.35">
      <c r="B23" s="44" t="s">
        <v>98</v>
      </c>
      <c r="C23" s="45" t="s">
        <v>168</v>
      </c>
      <c r="D23" s="46" t="s">
        <v>169</v>
      </c>
      <c r="E23" s="45" t="s">
        <v>170</v>
      </c>
      <c r="F23" s="45" t="s">
        <v>171</v>
      </c>
    </row>
    <row r="24" spans="2:6" ht="33.75" customHeight="1" x14ac:dyDescent="0.35">
      <c r="B24" s="44" t="s">
        <v>99</v>
      </c>
      <c r="C24" s="45" t="s">
        <v>172</v>
      </c>
      <c r="D24" s="46" t="s">
        <v>173</v>
      </c>
      <c r="E24" s="45" t="s">
        <v>174</v>
      </c>
      <c r="F24" s="45" t="s">
        <v>175</v>
      </c>
    </row>
    <row r="25" spans="2:6" ht="46.5" customHeight="1" x14ac:dyDescent="0.35">
      <c r="B25" s="44" t="s">
        <v>100</v>
      </c>
      <c r="C25" s="45" t="s">
        <v>176</v>
      </c>
      <c r="D25" s="46" t="s">
        <v>177</v>
      </c>
      <c r="E25" s="45" t="s">
        <v>178</v>
      </c>
      <c r="F25" s="45" t="s">
        <v>179</v>
      </c>
    </row>
    <row r="26" spans="2:6" ht="19.5" customHeight="1" x14ac:dyDescent="0.35">
      <c r="B26" s="11" t="s">
        <v>101</v>
      </c>
      <c r="C26" s="11"/>
      <c r="D26" s="11"/>
      <c r="E26" s="11"/>
      <c r="F26" s="11"/>
    </row>
    <row r="27" spans="2:6" ht="54" customHeight="1" x14ac:dyDescent="0.35">
      <c r="B27" s="44" t="s">
        <v>102</v>
      </c>
      <c r="C27" s="45" t="s">
        <v>180</v>
      </c>
      <c r="D27" s="46" t="s">
        <v>181</v>
      </c>
      <c r="E27" s="45" t="s">
        <v>182</v>
      </c>
      <c r="F27" s="45" t="s">
        <v>183</v>
      </c>
    </row>
    <row r="28" spans="2:6" ht="46.5" customHeight="1" x14ac:dyDescent="0.35">
      <c r="B28" s="44" t="s">
        <v>103</v>
      </c>
      <c r="C28" s="45" t="s">
        <v>184</v>
      </c>
      <c r="D28" s="46" t="s">
        <v>185</v>
      </c>
      <c r="E28" s="45" t="s">
        <v>186</v>
      </c>
      <c r="F28" s="45" t="s">
        <v>187</v>
      </c>
    </row>
    <row r="29" spans="2:6" ht="19.5" customHeight="1" x14ac:dyDescent="0.35">
      <c r="B29" s="11" t="s">
        <v>104</v>
      </c>
      <c r="C29" s="11"/>
      <c r="D29" s="11"/>
      <c r="E29" s="11"/>
      <c r="F29" s="11"/>
    </row>
    <row r="30" spans="2:6" ht="46.5" customHeight="1" x14ac:dyDescent="0.35">
      <c r="B30" s="44" t="s">
        <v>105</v>
      </c>
      <c r="C30" s="45" t="s">
        <v>188</v>
      </c>
      <c r="D30" s="46" t="s">
        <v>189</v>
      </c>
      <c r="E30" s="45" t="s">
        <v>190</v>
      </c>
      <c r="F30" s="45" t="s">
        <v>191</v>
      </c>
    </row>
    <row r="31" spans="2:6" ht="46.5" customHeight="1" x14ac:dyDescent="0.35">
      <c r="B31" s="44" t="s">
        <v>106</v>
      </c>
      <c r="C31" s="45" t="s">
        <v>192</v>
      </c>
      <c r="D31" s="46" t="s">
        <v>193</v>
      </c>
      <c r="E31" s="45" t="s">
        <v>194</v>
      </c>
      <c r="F31" s="45" t="s">
        <v>195</v>
      </c>
    </row>
    <row r="32" spans="2:6" ht="54" customHeight="1" x14ac:dyDescent="0.35">
      <c r="B32" s="44" t="s">
        <v>107</v>
      </c>
      <c r="C32" s="45" t="s">
        <v>196</v>
      </c>
      <c r="D32" s="46" t="s">
        <v>197</v>
      </c>
      <c r="E32" s="45" t="s">
        <v>198</v>
      </c>
      <c r="F32" s="45" t="s">
        <v>199</v>
      </c>
    </row>
  </sheetData>
  <sheetProtection sheet="1"/>
  <mergeCells count="8">
    <mergeCell ref="B20:F20"/>
    <mergeCell ref="B26:F26"/>
    <mergeCell ref="B29:F29"/>
    <mergeCell ref="A1:G1"/>
    <mergeCell ref="A2:G2"/>
    <mergeCell ref="B4:F4"/>
    <mergeCell ref="B7:F7"/>
    <mergeCell ref="B13:F13"/>
  </mergeCells>
  <pageMargins left="0.3" right="0.3" top="0.3" bottom="0.3" header="0.511811023622047" footer="0.511811023622047"/>
  <pageSetup fitToHeight="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26"/>
  <sheetViews>
    <sheetView showGridLines="0" zoomScaleNormal="100" workbookViewId="0">
      <selection activeCell="N24" sqref="N24"/>
    </sheetView>
  </sheetViews>
  <sheetFormatPr defaultColWidth="8.6328125" defaultRowHeight="14.5" x14ac:dyDescent="0.35"/>
  <cols>
    <col min="1" max="1" width="2.453125" customWidth="1"/>
    <col min="2" max="9" width="14" customWidth="1"/>
    <col min="10" max="10" width="2.453125" customWidth="1"/>
    <col min="11" max="11" width="23.453125" customWidth="1"/>
  </cols>
  <sheetData>
    <row r="1" spans="1:12" ht="31.5" customHeight="1" x14ac:dyDescent="0.35">
      <c r="A1" s="14" t="s">
        <v>0</v>
      </c>
      <c r="B1" s="14"/>
      <c r="C1" s="14"/>
      <c r="D1" s="14"/>
      <c r="E1" s="14"/>
      <c r="F1" s="14"/>
      <c r="G1" s="14"/>
      <c r="H1" s="14"/>
      <c r="I1" s="14"/>
      <c r="J1" s="14"/>
    </row>
    <row r="2" spans="1:12" ht="24" customHeight="1" x14ac:dyDescent="0.35">
      <c r="A2" s="13" t="s">
        <v>298</v>
      </c>
      <c r="B2" s="13"/>
      <c r="C2" s="13"/>
      <c r="D2" s="13"/>
      <c r="E2" s="13"/>
      <c r="F2" s="13"/>
      <c r="G2" s="13"/>
      <c r="H2" s="13"/>
      <c r="I2" s="13"/>
      <c r="J2" s="13"/>
    </row>
    <row r="4" spans="1:12" ht="21.75" customHeight="1" x14ac:dyDescent="0.35">
      <c r="B4" s="8" t="str">
        <f>"Reporting month:   "&amp;'KPI Data'!$C$4</f>
        <v>Reporting month:   Dec</v>
      </c>
      <c r="C4" s="8"/>
      <c r="D4" s="8"/>
      <c r="E4" s="8"/>
      <c r="F4" s="8"/>
      <c r="G4" s="8"/>
      <c r="H4" s="8"/>
      <c r="I4" s="8"/>
      <c r="K4" s="126" t="s">
        <v>200</v>
      </c>
      <c r="L4" s="127">
        <f>COUNTIF('KPI Dashboard'!$O$13:$O$42,"On Track")+COUNTIF('KPI Dashboard'!$O$13:$O$42,"Watch")+COUNTIF('KPI Dashboard'!$O$13:$O$42,"Action")</f>
        <v>11</v>
      </c>
    </row>
    <row r="6" spans="1:12" ht="21.75" customHeight="1" x14ac:dyDescent="0.35">
      <c r="B6" s="118" t="s">
        <v>201</v>
      </c>
      <c r="C6" s="118"/>
      <c r="D6" s="118"/>
      <c r="E6" s="118"/>
      <c r="F6" s="118"/>
      <c r="G6" s="118"/>
      <c r="H6" s="118"/>
      <c r="I6" s="118"/>
    </row>
    <row r="7" spans="1:12" ht="36" customHeight="1" x14ac:dyDescent="0.35">
      <c r="B7" s="119" t="str">
        <f>IFERROR(IF(OR(INDEX('KPI Data'!$Z$5:$AK$5,'KPI Data'!$B$4)=0,INDEX('KPI Data'!$Z$6:$AK$6,'KPI Data'!$B$4)=0,$L$4&lt;5),"INSUFFICIENT INFORMATION",IF(COUNTIF('KPI Dashboard'!$O$13:$O$42,"On Track")/$L$4&gt;=0.8,"STRONG",IF(COUNTIF('KPI Dashboard'!$O$13:$O$42,"On Track")/$L$4&gt;=0.6,"STABLE",IF(COUNTIF('KPI Dashboard'!$O$13:$O$42,"On Track")/$L$4&gt;=0.4,"NEEDS ATTENTION","UNDER PRESSURE")))),"NO TARGETS SET")</f>
        <v>STABLE</v>
      </c>
      <c r="C7" s="119"/>
      <c r="D7" s="119"/>
      <c r="E7" s="119"/>
      <c r="F7" s="119"/>
      <c r="G7" s="119"/>
      <c r="H7" s="119"/>
      <c r="I7" s="119"/>
    </row>
    <row r="8" spans="1:12" ht="21.75" customHeight="1" x14ac:dyDescent="0.35">
      <c r="B8" s="120" t="str">
        <f>IFERROR(IF(OR(INDEX('KPI Data'!$Z$5:$AK$5,'KPI Data'!$B$4)=0,INDEX('KPI Data'!$Z$6:$AK$6,'KPI Data'!$B$4)=0,$L$4&lt;5),"  All three revenue lines and all nine expense lines for the reporting month, and at least five KPIs with a target, are needed before an overall read is shown.","  "&amp;COUNTIF('KPI Dashboard'!$O$13:$O$42,"On Track")&amp;" of "&amp;$L$4&amp;" measured KPIs are on track  ("&amp;TEXT(IFERROR(COUNTIF('KPI Dashboard'!$O$13:$O$42,"On Track")/$L$4,0),"0%")&amp;")."&amp;"   Watch: "&amp;COUNTIF('KPI Dashboard'!$O$13:$O$42,"Watch")&amp;"    Action: "&amp;COUNTIF('KPI Dashboard'!$O$13:$O$42,"Action")&amp;"    No target set: "&amp;COUNTIF('KPI Dashboard'!$O$13:$O$42,"Set target")&amp;"    Incomplete: "&amp;COUNTIF('KPI Dashboard'!$O$13:$O$42,"Incomplete inputs")),"")</f>
        <v xml:space="preserve">  8 of 11 measured KPIs are on track  (73%).   Watch: 2    Action: 1    No target set: 5    Incomplete: 0</v>
      </c>
      <c r="C8" s="120"/>
      <c r="D8" s="120"/>
      <c r="E8" s="120"/>
      <c r="F8" s="120"/>
      <c r="G8" s="120"/>
      <c r="H8" s="120"/>
      <c r="I8" s="120"/>
    </row>
    <row r="9" spans="1:12" ht="6" customHeight="1" x14ac:dyDescent="0.35"/>
    <row r="11" spans="1:12" ht="21.75" customHeight="1" x14ac:dyDescent="0.35">
      <c r="B11" s="118" t="s">
        <v>202</v>
      </c>
      <c r="C11" s="118"/>
      <c r="D11" s="118"/>
      <c r="E11" s="118"/>
      <c r="F11" s="118"/>
      <c r="G11" s="118"/>
      <c r="H11" s="118"/>
      <c r="I11" s="118"/>
    </row>
    <row r="12" spans="1:12" ht="19.5" customHeight="1" x14ac:dyDescent="0.35">
      <c r="B12" s="121" t="str">
        <f>IFERROR("▲   "&amp;INDEX('KPI Data'!$A$8:$A$37,MATCH(LARGE('KPI Data'!$X$8:$X$37,1),'KPI Data'!$X$8:$X$37,0))&amp;"   —   "&amp;INDEX('KPI Data'!$U$8:$U$37,MATCH(LARGE('KPI Data'!$X$8:$X$37,1),'KPI Data'!$X$8:$X$37,0))&amp;" vs target "&amp;INDEX('KPI Data'!$V$8:$V$37,MATCH(LARGE('KPI Data'!$X$8:$X$37,1),'KPI Data'!$X$8:$X$37,0)),"")</f>
        <v>▲   Accounts Receivable Days   —   10.7 vs target 30.0</v>
      </c>
      <c r="C12" s="121"/>
      <c r="D12" s="121"/>
      <c r="E12" s="121"/>
      <c r="F12" s="121"/>
      <c r="G12" s="121"/>
      <c r="H12" s="121"/>
      <c r="I12" s="121"/>
    </row>
    <row r="13" spans="1:12" ht="19.5" customHeight="1" x14ac:dyDescent="0.35">
      <c r="B13" s="121" t="str">
        <f>IFERROR("▲   "&amp;INDEX('KPI Data'!$A$8:$A$37,MATCH(LARGE('KPI Data'!$X$8:$X$37,2),'KPI Data'!$X$8:$X$37,0))&amp;"   —   "&amp;INDEX('KPI Data'!$U$8:$U$37,MATCH(LARGE('KPI Data'!$X$8:$X$37,2),'KPI Data'!$X$8:$X$37,0))&amp;" vs target "&amp;INDEX('KPI Data'!$V$8:$V$37,MATCH(LARGE('KPI Data'!$X$8:$X$37,2),'KPI Data'!$X$8:$X$37,0)),"")</f>
        <v>▲   Current Ratio   —   11.97 vs target 1.50</v>
      </c>
      <c r="C13" s="121"/>
      <c r="D13" s="121"/>
      <c r="E13" s="121"/>
      <c r="F13" s="121"/>
      <c r="G13" s="121"/>
      <c r="H13" s="121"/>
      <c r="I13" s="121"/>
    </row>
    <row r="14" spans="1:12" ht="19.5" customHeight="1" x14ac:dyDescent="0.35">
      <c r="B14" s="121" t="str">
        <f>IFERROR("▲   "&amp;INDEX('KPI Data'!$A$8:$A$37,MATCH(LARGE('KPI Data'!$X$8:$X$37,3),'KPI Data'!$X$8:$X$37,0))&amp;"   —   "&amp;INDEX('KPI Data'!$U$8:$U$37,MATCH(LARGE('KPI Data'!$X$8:$X$37,3),'KPI Data'!$X$8:$X$37,0))&amp;" vs target "&amp;INDEX('KPI Data'!$V$8:$V$37,MATCH(LARGE('KPI Data'!$X$8:$X$37,3),'KPI Data'!$X$8:$X$37,0)),"")</f>
        <v>▲   Net Profit Margin %   —   31.1% vs target 25.0%</v>
      </c>
      <c r="C14" s="121"/>
      <c r="D14" s="121"/>
      <c r="E14" s="121"/>
      <c r="F14" s="121"/>
      <c r="G14" s="121"/>
      <c r="H14" s="121"/>
      <c r="I14" s="121"/>
    </row>
    <row r="16" spans="1:12" ht="21.75" customHeight="1" x14ac:dyDescent="0.35">
      <c r="B16" s="118" t="s">
        <v>203</v>
      </c>
      <c r="C16" s="118"/>
      <c r="D16" s="118"/>
      <c r="E16" s="118"/>
      <c r="F16" s="118"/>
      <c r="G16" s="118"/>
      <c r="H16" s="118"/>
      <c r="I16" s="118"/>
    </row>
    <row r="17" spans="2:9" ht="19.5" customHeight="1" x14ac:dyDescent="0.35">
      <c r="B17" s="121" t="str">
        <f>IFERROR("▼   "&amp;INDEX('KPI Data'!$A$8:$A$37,MATCH(SMALL('KPI Data'!$T$8:$T$37,1),'KPI Data'!$T$8:$T$37,0))&amp;"   —   "&amp;INDEX('KPI Data'!$U$8:$U$37,MATCH(SMALL('KPI Data'!$T$8:$T$37,1),'KPI Data'!$T$8:$T$37,0))&amp;" vs target "&amp;INDEX('KPI Data'!$V$8:$V$37,MATCH(SMALL('KPI Data'!$T$8:$T$37,1),'KPI Data'!$T$8:$T$37,0)),"")</f>
        <v>▼   Revenue Growth %   —   -6.0% vs target 0.0%</v>
      </c>
      <c r="C17" s="121"/>
      <c r="D17" s="121"/>
      <c r="E17" s="121"/>
      <c r="F17" s="121"/>
      <c r="G17" s="121"/>
      <c r="H17" s="121"/>
      <c r="I17" s="121"/>
    </row>
    <row r="18" spans="2:9" ht="19.5" customHeight="1" x14ac:dyDescent="0.35">
      <c r="B18" s="121" t="str">
        <f>IFERROR("▼   "&amp;INDEX('KPI Data'!$A$8:$A$37,MATCH(SMALL('KPI Data'!$T$8:$T$37,2),'KPI Data'!$T$8:$T$37,0))&amp;"   —   "&amp;INDEX('KPI Data'!$U$8:$U$37,MATCH(SMALL('KPI Data'!$T$8:$T$37,2),'KPI Data'!$T$8:$T$37,0))&amp;" vs target "&amp;INDEX('KPI Data'!$V$8:$V$37,MATCH(SMALL('KPI Data'!$T$8:$T$37,2),'KPI Data'!$T$8:$T$37,0)),"")</f>
        <v>▼   Returning Patient Ratio %   —   68.2% vs target 70.0%</v>
      </c>
      <c r="C18" s="121"/>
      <c r="D18" s="121"/>
      <c r="E18" s="121"/>
      <c r="F18" s="121"/>
      <c r="G18" s="121"/>
      <c r="H18" s="121"/>
      <c r="I18" s="121"/>
    </row>
    <row r="19" spans="2:9" ht="19.5" customHeight="1" x14ac:dyDescent="0.35">
      <c r="B19" s="121" t="str">
        <f>IFERROR("▼   "&amp;INDEX('KPI Data'!$A$8:$A$37,MATCH(SMALL('KPI Data'!$T$8:$T$37,3),'KPI Data'!$T$8:$T$37,0))&amp;"   —   "&amp;INDEX('KPI Data'!$U$8:$U$37,MATCH(SMALL('KPI Data'!$T$8:$T$37,3),'KPI Data'!$T$8:$T$37,0))&amp;" vs target "&amp;INDEX('KPI Data'!$V$8:$V$37,MATCH(SMALL('KPI Data'!$T$8:$T$37,3),'KPI Data'!$T$8:$T$37,0)),"")</f>
        <v>▼   Payroll &amp; Contractor % of Revenue   —   55.8% vs target 55.0%</v>
      </c>
      <c r="C19" s="121"/>
      <c r="D19" s="121"/>
      <c r="E19" s="121"/>
      <c r="F19" s="121"/>
      <c r="G19" s="121"/>
      <c r="H19" s="121"/>
      <c r="I19" s="121"/>
    </row>
    <row r="21" spans="2:9" ht="21.75" customHeight="1" x14ac:dyDescent="0.35">
      <c r="B21" s="118" t="s">
        <v>204</v>
      </c>
      <c r="C21" s="118"/>
      <c r="D21" s="118"/>
      <c r="E21" s="118"/>
      <c r="F21" s="118"/>
      <c r="G21" s="118"/>
      <c r="H21" s="118"/>
      <c r="I21" s="118"/>
    </row>
    <row r="22" spans="2:9" ht="31.5" customHeight="1" x14ac:dyDescent="0.35">
      <c r="B22" s="122" t="str">
        <f>IFERROR("1.   "&amp;INDEX('KPI Data'!$A$8:$A$37,MATCH(SMALL('KPI Data'!$T$8:$T$37,1),'KPI Data'!$T$8:$T$37,0))&amp;":  look at "&amp;INDEX('KPI Targets'!$G$11:$G$40,MATCH(INDEX('KPI Data'!$A$8:$A$37,MATCH(SMALL('KPI Data'!$T$8:$T$37,1),'KPI Data'!$T$8:$T$37,0)),'KPI Targets'!$B$11:$B$40,0))&amp;".","")</f>
        <v>1.   Revenue Growth %:  look at new patient volume and referral sources, which lead revenue by four to eight weeks.</v>
      </c>
      <c r="C22" s="122"/>
      <c r="D22" s="122"/>
      <c r="E22" s="122"/>
      <c r="F22" s="122"/>
      <c r="G22" s="122"/>
      <c r="H22" s="122"/>
      <c r="I22" s="122"/>
    </row>
    <row r="23" spans="2:9" ht="31.5" customHeight="1" x14ac:dyDescent="0.35">
      <c r="B23" s="122" t="str">
        <f>IFERROR("2.   "&amp;INDEX('KPI Data'!$A$8:$A$37,MATCH(SMALL('KPI Data'!$T$8:$T$37,2),'KPI Data'!$T$8:$T$37,0))&amp;":  look at "&amp;INDEX('KPI Targets'!$G$11:$G$40,MATCH(INDEX('KPI Data'!$A$8:$A$37,MATCH(SMALL('KPI Data'!$T$8:$T$37,2),'KPI Data'!$T$8:$T$37,0)),'KPI Targets'!$B$11:$B$40,0))&amp;".","")</f>
        <v>2.   Returning Patient Ratio %:  look at the first-visit experience and how clearly the plan of care is explained.</v>
      </c>
      <c r="C23" s="122"/>
      <c r="D23" s="122"/>
      <c r="E23" s="122"/>
      <c r="F23" s="122"/>
      <c r="G23" s="122"/>
      <c r="H23" s="122"/>
      <c r="I23" s="122"/>
    </row>
    <row r="24" spans="2:9" ht="31.5" customHeight="1" x14ac:dyDescent="0.35">
      <c r="B24" s="122" t="str">
        <f>IFERROR("3.   "&amp;INDEX('KPI Data'!$A$8:$A$37,MATCH(SMALL('KPI Data'!$T$8:$T$37,3),'KPI Data'!$T$8:$T$37,0))&amp;":  look at "&amp;INDEX('KPI Targets'!$G$11:$G$40,MATCH(INDEX('KPI Data'!$A$8:$A$37,MATCH(SMALL('KPI Data'!$T$8:$T$37,3),'KPI Data'!$T$8:$T$37,0)),'KPI Targets'!$B$11:$B$40,0))&amp;".","")</f>
        <v>3.   Payroll &amp; Contractor % of Revenue:  look at the split arrangement with practitioners and whether admin hours have grown with revenue.</v>
      </c>
      <c r="C24" s="122"/>
      <c r="D24" s="122"/>
      <c r="E24" s="122"/>
      <c r="F24" s="122"/>
      <c r="G24" s="122"/>
      <c r="H24" s="122"/>
      <c r="I24" s="122"/>
    </row>
    <row r="26" spans="2:9" ht="48.5" customHeight="1" x14ac:dyDescent="0.35">
      <c r="B26" s="115" t="s">
        <v>205</v>
      </c>
      <c r="C26" s="115"/>
      <c r="D26" s="115"/>
      <c r="E26" s="115"/>
      <c r="F26" s="115"/>
      <c r="G26" s="115"/>
      <c r="H26" s="115"/>
      <c r="I26" s="115"/>
    </row>
  </sheetData>
  <mergeCells count="19">
    <mergeCell ref="B22:I22"/>
    <mergeCell ref="B23:I23"/>
    <mergeCell ref="B24:I24"/>
    <mergeCell ref="B26:I26"/>
    <mergeCell ref="B16:I16"/>
    <mergeCell ref="B17:I17"/>
    <mergeCell ref="B18:I18"/>
    <mergeCell ref="B19:I19"/>
    <mergeCell ref="B21:I21"/>
    <mergeCell ref="B8:I8"/>
    <mergeCell ref="B11:I11"/>
    <mergeCell ref="B12:I12"/>
    <mergeCell ref="B13:I13"/>
    <mergeCell ref="B14:I14"/>
    <mergeCell ref="A1:J1"/>
    <mergeCell ref="A2:J2"/>
    <mergeCell ref="B4:I4"/>
    <mergeCell ref="B6:I6"/>
    <mergeCell ref="B7:I7"/>
  </mergeCells>
  <conditionalFormatting sqref="B7:I7">
    <cfRule type="cellIs" dxfId="5" priority="2" operator="equal">
      <formula>"STRONG"</formula>
    </cfRule>
    <cfRule type="cellIs" dxfId="4" priority="3" operator="equal">
      <formula>"STABLE"</formula>
    </cfRule>
    <cfRule type="cellIs" dxfId="3" priority="4" operator="equal">
      <formula>"NEEDS ATTENTION"</formula>
    </cfRule>
    <cfRule type="cellIs" dxfId="2" priority="5" operator="equal">
      <formula>"UNDER PRESSURE"</formula>
    </cfRule>
  </conditionalFormatting>
  <conditionalFormatting sqref="B12:I14">
    <cfRule type="expression" dxfId="1" priority="6">
      <formula>LEN($B12)&gt;0</formula>
    </cfRule>
  </conditionalFormatting>
  <conditionalFormatting sqref="B17:I19">
    <cfRule type="expression" dxfId="0" priority="7">
      <formula>LEN($B17)&gt;0</formula>
    </cfRule>
  </conditionalFormatting>
  <pageMargins left="0.5" right="0.5" top="0.5" bottom="0.5" header="0.511811023622047" footer="0.511811023622047"/>
  <pageSetup fitToHeight="0" orientation="portrait" horizontalDpi="300" verticalDpi="30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pageSetUpPr fitToPage="1"/>
  </sheetPr>
  <dimension ref="A1:H38"/>
  <sheetViews>
    <sheetView showGridLines="0" zoomScaleNormal="100" workbookViewId="0">
      <pane xSplit="1" ySplit="10" topLeftCell="B11" activePane="bottomRight" state="frozen"/>
      <selection pane="topRight" activeCell="B1" sqref="B1"/>
      <selection pane="bottomLeft" activeCell="A35" sqref="A35"/>
      <selection pane="bottomRight" activeCell="D12" sqref="D12"/>
    </sheetView>
  </sheetViews>
  <sheetFormatPr defaultColWidth="8.6328125" defaultRowHeight="14.5" x14ac:dyDescent="0.35"/>
  <cols>
    <col min="1" max="1" width="2.453125" customWidth="1"/>
    <col min="2" max="2" width="34" customWidth="1"/>
    <col min="3" max="3" width="20" customWidth="1"/>
    <col min="4" max="4" width="15" customWidth="1"/>
    <col min="5" max="5" width="19" customWidth="1"/>
    <col min="6" max="6" width="54" customWidth="1"/>
    <col min="7" max="7" width="58" customWidth="1"/>
    <col min="8" max="8" width="2.453125" customWidth="1"/>
  </cols>
  <sheetData>
    <row r="1" spans="1:8" ht="31.5" customHeight="1" x14ac:dyDescent="0.35">
      <c r="A1" s="14" t="s">
        <v>0</v>
      </c>
      <c r="B1" s="14"/>
      <c r="C1" s="14"/>
      <c r="D1" s="14"/>
      <c r="E1" s="14"/>
      <c r="F1" s="14"/>
      <c r="G1" s="14"/>
      <c r="H1" s="14"/>
    </row>
    <row r="2" spans="1:8" ht="24" customHeight="1" x14ac:dyDescent="0.35">
      <c r="A2" s="13" t="s">
        <v>206</v>
      </c>
      <c r="B2" s="13"/>
      <c r="C2" s="13"/>
      <c r="D2" s="13"/>
      <c r="E2" s="13"/>
      <c r="F2" s="13"/>
      <c r="G2" s="13"/>
      <c r="H2" s="13"/>
    </row>
    <row r="4" spans="1:8" ht="61.5" customHeight="1" x14ac:dyDescent="0.35">
      <c r="B4" s="123" t="s">
        <v>207</v>
      </c>
      <c r="C4" s="123"/>
      <c r="D4" s="123"/>
      <c r="E4" s="123"/>
      <c r="F4" s="123"/>
      <c r="G4" s="123"/>
    </row>
    <row r="6" spans="1:8" ht="19.5" customHeight="1" x14ac:dyDescent="0.35">
      <c r="B6" s="33" t="s">
        <v>208</v>
      </c>
      <c r="C6" s="20"/>
      <c r="D6" s="20"/>
      <c r="E6" s="20"/>
      <c r="F6" s="20"/>
      <c r="G6" s="20"/>
    </row>
    <row r="7" spans="1:8" ht="18" customHeight="1" x14ac:dyDescent="0.35">
      <c r="B7" s="47" t="s">
        <v>209</v>
      </c>
      <c r="C7" s="48">
        <v>30.4</v>
      </c>
      <c r="D7" s="49" t="s">
        <v>210</v>
      </c>
    </row>
    <row r="8" spans="1:8" ht="18" customHeight="1" x14ac:dyDescent="0.35">
      <c r="B8" s="47" t="s">
        <v>211</v>
      </c>
      <c r="C8" s="50">
        <v>0.1</v>
      </c>
    </row>
    <row r="9" spans="1:8" ht="15.75" customHeight="1" x14ac:dyDescent="0.35">
      <c r="D9" s="124" t="s">
        <v>212</v>
      </c>
      <c r="E9" s="124"/>
      <c r="F9" s="124"/>
      <c r="G9" s="124"/>
    </row>
    <row r="10" spans="1:8" ht="25.5" customHeight="1" x14ac:dyDescent="0.35">
      <c r="B10" s="31" t="s">
        <v>75</v>
      </c>
      <c r="C10" s="32" t="s">
        <v>213</v>
      </c>
      <c r="D10" s="32" t="s">
        <v>214</v>
      </c>
      <c r="E10" s="32" t="s">
        <v>78</v>
      </c>
      <c r="F10" s="32" t="s">
        <v>215</v>
      </c>
      <c r="G10" s="32" t="s">
        <v>216</v>
      </c>
    </row>
    <row r="11" spans="1:8" ht="19.5" customHeight="1" x14ac:dyDescent="0.35">
      <c r="B11" s="11" t="s">
        <v>83</v>
      </c>
      <c r="C11" s="11"/>
      <c r="D11" s="11"/>
      <c r="E11" s="11"/>
      <c r="F11" s="11"/>
      <c r="G11" s="11"/>
    </row>
    <row r="12" spans="1:8" ht="33.75" customHeight="1" x14ac:dyDescent="0.35">
      <c r="B12" s="39" t="s">
        <v>84</v>
      </c>
      <c r="C12" s="51" t="s">
        <v>217</v>
      </c>
      <c r="D12" s="52"/>
      <c r="E12" s="53" t="s">
        <v>218</v>
      </c>
      <c r="F12" s="54" t="s">
        <v>219</v>
      </c>
      <c r="G12" s="54" t="s">
        <v>220</v>
      </c>
    </row>
    <row r="13" spans="1:8" ht="33.75" customHeight="1" x14ac:dyDescent="0.35">
      <c r="B13" s="39" t="s">
        <v>85</v>
      </c>
      <c r="C13" s="51" t="s">
        <v>217</v>
      </c>
      <c r="D13" s="52"/>
      <c r="E13" s="53" t="s">
        <v>218</v>
      </c>
      <c r="F13" s="54" t="s">
        <v>221</v>
      </c>
      <c r="G13" s="54" t="s">
        <v>222</v>
      </c>
    </row>
    <row r="14" spans="1:8" ht="42.75" customHeight="1" x14ac:dyDescent="0.35">
      <c r="B14" s="39" t="s">
        <v>86</v>
      </c>
      <c r="C14" s="51" t="s">
        <v>217</v>
      </c>
      <c r="D14" s="55">
        <v>0.25</v>
      </c>
      <c r="E14" s="53" t="s">
        <v>218</v>
      </c>
      <c r="F14" s="54" t="s">
        <v>223</v>
      </c>
      <c r="G14" s="54" t="s">
        <v>224</v>
      </c>
    </row>
    <row r="15" spans="1:8" ht="45" customHeight="1" x14ac:dyDescent="0.35">
      <c r="B15" s="39" t="s">
        <v>87</v>
      </c>
      <c r="C15" s="51" t="s">
        <v>217</v>
      </c>
      <c r="D15" s="55">
        <v>0.15</v>
      </c>
      <c r="E15" s="53" t="s">
        <v>218</v>
      </c>
      <c r="F15" s="54" t="s">
        <v>225</v>
      </c>
      <c r="G15" s="54" t="s">
        <v>226</v>
      </c>
    </row>
    <row r="16" spans="1:8" ht="42.75" customHeight="1" x14ac:dyDescent="0.35">
      <c r="B16" s="39" t="s">
        <v>88</v>
      </c>
      <c r="C16" s="51" t="s">
        <v>227</v>
      </c>
      <c r="D16" s="55">
        <v>0</v>
      </c>
      <c r="E16" s="53" t="s">
        <v>218</v>
      </c>
      <c r="F16" s="54" t="s">
        <v>228</v>
      </c>
      <c r="G16" s="54" t="s">
        <v>229</v>
      </c>
    </row>
    <row r="17" spans="2:7" ht="19.5" customHeight="1" x14ac:dyDescent="0.35">
      <c r="B17" s="11" t="s">
        <v>61</v>
      </c>
      <c r="C17" s="11"/>
      <c r="D17" s="11"/>
      <c r="E17" s="11"/>
      <c r="F17" s="11"/>
      <c r="G17" s="11"/>
    </row>
    <row r="18" spans="2:7" ht="33.75" customHeight="1" x14ac:dyDescent="0.35">
      <c r="B18" s="39" t="s">
        <v>89</v>
      </c>
      <c r="C18" s="51" t="s">
        <v>230</v>
      </c>
      <c r="D18" s="52"/>
      <c r="E18" s="53" t="s">
        <v>218</v>
      </c>
      <c r="F18" s="54" t="s">
        <v>231</v>
      </c>
      <c r="G18" s="54" t="s">
        <v>232</v>
      </c>
    </row>
    <row r="19" spans="2:7" ht="45" customHeight="1" x14ac:dyDescent="0.35">
      <c r="B19" s="39" t="s">
        <v>90</v>
      </c>
      <c r="C19" s="51" t="s">
        <v>230</v>
      </c>
      <c r="D19" s="56">
        <v>3</v>
      </c>
      <c r="E19" s="53" t="s">
        <v>218</v>
      </c>
      <c r="F19" s="54" t="s">
        <v>233</v>
      </c>
      <c r="G19" s="54" t="s">
        <v>234</v>
      </c>
    </row>
    <row r="20" spans="2:7" ht="33.75" customHeight="1" x14ac:dyDescent="0.35">
      <c r="B20" s="39" t="s">
        <v>91</v>
      </c>
      <c r="C20" s="51" t="s">
        <v>217</v>
      </c>
      <c r="D20" s="52">
        <v>0</v>
      </c>
      <c r="E20" s="53" t="s">
        <v>218</v>
      </c>
      <c r="F20" s="54" t="s">
        <v>235</v>
      </c>
      <c r="G20" s="54" t="s">
        <v>236</v>
      </c>
    </row>
    <row r="21" spans="2:7" ht="33.75" customHeight="1" x14ac:dyDescent="0.35">
      <c r="B21" s="39" t="s">
        <v>92</v>
      </c>
      <c r="C21" s="51" t="s">
        <v>217</v>
      </c>
      <c r="D21" s="52"/>
      <c r="E21" s="53" t="s">
        <v>218</v>
      </c>
      <c r="F21" s="54" t="s">
        <v>237</v>
      </c>
      <c r="G21" s="54" t="s">
        <v>238</v>
      </c>
    </row>
    <row r="22" spans="2:7" ht="33.75" customHeight="1" x14ac:dyDescent="0.35">
      <c r="B22" s="39" t="s">
        <v>93</v>
      </c>
      <c r="C22" s="51" t="s">
        <v>239</v>
      </c>
      <c r="D22" s="57">
        <v>1.5</v>
      </c>
      <c r="E22" s="53" t="s">
        <v>218</v>
      </c>
      <c r="F22" s="54" t="s">
        <v>240</v>
      </c>
      <c r="G22" s="54" t="s">
        <v>241</v>
      </c>
    </row>
    <row r="23" spans="2:7" ht="42.75" customHeight="1" x14ac:dyDescent="0.35">
      <c r="B23" s="39" t="s">
        <v>94</v>
      </c>
      <c r="C23" s="51" t="s">
        <v>227</v>
      </c>
      <c r="D23" s="56">
        <v>30</v>
      </c>
      <c r="E23" s="53" t="s">
        <v>242</v>
      </c>
      <c r="F23" s="54" t="s">
        <v>243</v>
      </c>
      <c r="G23" s="54" t="s">
        <v>244</v>
      </c>
    </row>
    <row r="24" spans="2:7" ht="19.5" customHeight="1" x14ac:dyDescent="0.35">
      <c r="B24" s="11" t="s">
        <v>95</v>
      </c>
      <c r="C24" s="11"/>
      <c r="D24" s="11"/>
      <c r="E24" s="11"/>
      <c r="F24" s="11"/>
      <c r="G24" s="11"/>
    </row>
    <row r="25" spans="2:7" ht="42.75" customHeight="1" x14ac:dyDescent="0.35">
      <c r="B25" s="39" t="s">
        <v>96</v>
      </c>
      <c r="C25" s="51" t="s">
        <v>227</v>
      </c>
      <c r="D25" s="58"/>
      <c r="E25" s="53" t="s">
        <v>218</v>
      </c>
      <c r="F25" s="54" t="s">
        <v>245</v>
      </c>
      <c r="G25" s="54" t="s">
        <v>246</v>
      </c>
    </row>
    <row r="26" spans="2:7" ht="33.75" customHeight="1" x14ac:dyDescent="0.35">
      <c r="B26" s="39" t="s">
        <v>97</v>
      </c>
      <c r="C26" s="51" t="s">
        <v>247</v>
      </c>
      <c r="D26" s="58">
        <v>90</v>
      </c>
      <c r="E26" s="53" t="s">
        <v>218</v>
      </c>
      <c r="F26" s="54" t="s">
        <v>248</v>
      </c>
      <c r="G26" s="54" t="s">
        <v>249</v>
      </c>
    </row>
    <row r="27" spans="2:7" ht="33.75" customHeight="1" x14ac:dyDescent="0.35">
      <c r="B27" s="39" t="s">
        <v>98</v>
      </c>
      <c r="C27" s="51" t="s">
        <v>227</v>
      </c>
      <c r="D27" s="58">
        <v>110</v>
      </c>
      <c r="E27" s="53" t="s">
        <v>218</v>
      </c>
      <c r="F27" s="54" t="s">
        <v>250</v>
      </c>
      <c r="G27" s="54" t="s">
        <v>251</v>
      </c>
    </row>
    <row r="28" spans="2:7" ht="42.75" customHeight="1" x14ac:dyDescent="0.35">
      <c r="B28" s="39" t="s">
        <v>99</v>
      </c>
      <c r="C28" s="51" t="s">
        <v>252</v>
      </c>
      <c r="D28" s="57"/>
      <c r="E28" s="53" t="s">
        <v>253</v>
      </c>
      <c r="F28" s="54" t="s">
        <v>254</v>
      </c>
      <c r="G28" s="54" t="s">
        <v>255</v>
      </c>
    </row>
    <row r="29" spans="2:7" ht="42.75" customHeight="1" x14ac:dyDescent="0.35">
      <c r="B29" s="39" t="s">
        <v>100</v>
      </c>
      <c r="C29" s="51" t="s">
        <v>256</v>
      </c>
      <c r="D29" s="55"/>
      <c r="E29" s="53" t="s">
        <v>253</v>
      </c>
      <c r="F29" s="54" t="s">
        <v>257</v>
      </c>
      <c r="G29" s="54" t="s">
        <v>258</v>
      </c>
    </row>
    <row r="30" spans="2:7" ht="19.5" customHeight="1" x14ac:dyDescent="0.35">
      <c r="B30" s="11" t="s">
        <v>101</v>
      </c>
      <c r="C30" s="11"/>
      <c r="D30" s="11"/>
      <c r="E30" s="11"/>
      <c r="F30" s="11"/>
      <c r="G30" s="11"/>
    </row>
    <row r="31" spans="2:7" ht="45" customHeight="1" x14ac:dyDescent="0.35">
      <c r="B31" s="39" t="s">
        <v>102</v>
      </c>
      <c r="C31" s="51" t="s">
        <v>227</v>
      </c>
      <c r="D31" s="55">
        <v>0.7</v>
      </c>
      <c r="E31" s="53" t="s">
        <v>218</v>
      </c>
      <c r="F31" s="54" t="s">
        <v>259</v>
      </c>
      <c r="G31" s="54" t="s">
        <v>260</v>
      </c>
    </row>
    <row r="32" spans="2:7" ht="46.5" customHeight="1" x14ac:dyDescent="0.35">
      <c r="B32" s="39" t="s">
        <v>103</v>
      </c>
      <c r="C32" s="51" t="s">
        <v>227</v>
      </c>
      <c r="D32" s="55"/>
      <c r="E32" s="53" t="s">
        <v>253</v>
      </c>
      <c r="F32" s="54" t="s">
        <v>261</v>
      </c>
      <c r="G32" s="54" t="s">
        <v>262</v>
      </c>
    </row>
    <row r="33" spans="2:7" ht="19.5" customHeight="1" x14ac:dyDescent="0.35">
      <c r="B33" s="11" t="s">
        <v>104</v>
      </c>
      <c r="C33" s="11"/>
      <c r="D33" s="11"/>
      <c r="E33" s="11"/>
      <c r="F33" s="11"/>
      <c r="G33" s="11"/>
    </row>
    <row r="34" spans="2:7" ht="42.75" customHeight="1" x14ac:dyDescent="0.35">
      <c r="B34" s="39" t="s">
        <v>105</v>
      </c>
      <c r="C34" s="51" t="s">
        <v>263</v>
      </c>
      <c r="D34" s="55">
        <v>0.55000000000000004</v>
      </c>
      <c r="E34" s="53" t="s">
        <v>242</v>
      </c>
      <c r="F34" s="54" t="s">
        <v>264</v>
      </c>
      <c r="G34" s="54" t="s">
        <v>265</v>
      </c>
    </row>
    <row r="35" spans="2:7" ht="60" customHeight="1" x14ac:dyDescent="0.35">
      <c r="B35" s="39" t="s">
        <v>106</v>
      </c>
      <c r="C35" s="51" t="s">
        <v>217</v>
      </c>
      <c r="D35" s="55"/>
      <c r="E35" s="53" t="s">
        <v>253</v>
      </c>
      <c r="F35" s="54" t="s">
        <v>266</v>
      </c>
      <c r="G35" s="54" t="s">
        <v>267</v>
      </c>
    </row>
    <row r="36" spans="2:7" ht="46.5" customHeight="1" x14ac:dyDescent="0.35">
      <c r="B36" s="39" t="s">
        <v>107</v>
      </c>
      <c r="C36" s="51" t="s">
        <v>268</v>
      </c>
      <c r="D36" s="55"/>
      <c r="E36" s="53" t="s">
        <v>253</v>
      </c>
      <c r="F36" s="54" t="s">
        <v>269</v>
      </c>
      <c r="G36" s="54" t="s">
        <v>270</v>
      </c>
    </row>
    <row r="38" spans="2:7" ht="30" customHeight="1" x14ac:dyDescent="0.35">
      <c r="B38" s="115" t="s">
        <v>271</v>
      </c>
      <c r="C38" s="115"/>
      <c r="D38" s="115"/>
      <c r="E38" s="115"/>
      <c r="F38" s="115"/>
      <c r="G38" s="115"/>
    </row>
  </sheetData>
  <sheetProtection sheet="1"/>
  <mergeCells count="10">
    <mergeCell ref="B17:G17"/>
    <mergeCell ref="B24:G24"/>
    <mergeCell ref="B30:G30"/>
    <mergeCell ref="B33:G33"/>
    <mergeCell ref="B38:G38"/>
    <mergeCell ref="A1:H1"/>
    <mergeCell ref="A2:H2"/>
    <mergeCell ref="B4:G4"/>
    <mergeCell ref="D9:G9"/>
    <mergeCell ref="B11:G11"/>
  </mergeCells>
  <dataValidations count="1">
    <dataValidation type="list" allowBlank="1" sqref="E12:E16 E18:E23 E25:E29 E31:E32 E34:E36" xr:uid="{00000000-0002-0000-0500-000000000000}">
      <formula1>"Higher,Lower"</formula1>
      <formula2>0</formula2>
    </dataValidation>
  </dataValidations>
  <pageMargins left="0.3" right="0.3" top="0.3" bottom="0.3" header="0.511811023622047" footer="0.511811023622047"/>
  <pageSetup fitToHeight="0" orientation="landscape" horizontalDpi="300" verticalDpi="300"/>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K39"/>
  <sheetViews>
    <sheetView showGridLines="0" zoomScaleNormal="100" workbookViewId="0">
      <pane xSplit="1" ySplit="7" topLeftCell="B8" activePane="bottomRight" state="frozen"/>
      <selection pane="topRight" activeCell="B1" sqref="B1"/>
      <selection pane="bottomLeft" activeCell="A8" sqref="A8"/>
      <selection pane="bottomRight" sqref="A1:V1"/>
    </sheetView>
  </sheetViews>
  <sheetFormatPr defaultColWidth="8.6328125" defaultRowHeight="14.5" x14ac:dyDescent="0.35"/>
  <cols>
    <col min="1" max="1" width="36" customWidth="1"/>
    <col min="2" max="13" width="10.54296875" customWidth="1"/>
    <col min="14" max="17" width="13" customWidth="1"/>
    <col min="18" max="18" width="12" customWidth="1"/>
    <col min="19" max="20" width="10" customWidth="1"/>
    <col min="21" max="22" width="14" customWidth="1"/>
  </cols>
  <sheetData>
    <row r="1" spans="1:37" ht="31.5" customHeight="1" x14ac:dyDescent="0.35">
      <c r="A1" s="14" t="s">
        <v>0</v>
      </c>
      <c r="B1" s="14"/>
      <c r="C1" s="14"/>
      <c r="D1" s="14"/>
      <c r="E1" s="14"/>
      <c r="F1" s="14"/>
      <c r="G1" s="14"/>
      <c r="H1" s="14"/>
      <c r="I1" s="14"/>
      <c r="J1" s="14"/>
      <c r="K1" s="14"/>
      <c r="L1" s="14"/>
      <c r="M1" s="14"/>
      <c r="N1" s="14"/>
      <c r="O1" s="14"/>
      <c r="P1" s="14"/>
      <c r="Q1" s="14"/>
      <c r="R1" s="14"/>
      <c r="S1" s="14"/>
      <c r="T1" s="14"/>
      <c r="U1" s="14"/>
      <c r="V1" s="14"/>
    </row>
    <row r="2" spans="1:37" ht="24" customHeight="1" x14ac:dyDescent="0.35">
      <c r="A2" s="13" t="s">
        <v>272</v>
      </c>
      <c r="B2" s="13"/>
      <c r="C2" s="13"/>
      <c r="D2" s="13"/>
      <c r="E2" s="13"/>
      <c r="F2" s="13"/>
      <c r="G2" s="13"/>
      <c r="H2" s="13"/>
      <c r="I2" s="13"/>
      <c r="J2" s="13"/>
      <c r="K2" s="13"/>
      <c r="L2" s="13"/>
      <c r="M2" s="13"/>
      <c r="N2" s="13"/>
      <c r="O2" s="13"/>
      <c r="P2" s="13"/>
      <c r="Q2" s="13"/>
      <c r="R2" s="13"/>
      <c r="S2" s="13"/>
      <c r="T2" s="13"/>
      <c r="U2" s="13"/>
      <c r="V2" s="13"/>
    </row>
    <row r="3" spans="1:37" ht="14.25" customHeight="1" x14ac:dyDescent="0.35">
      <c r="Z3" s="59" t="s">
        <v>273</v>
      </c>
    </row>
    <row r="4" spans="1:37" ht="19.5" customHeight="1" x14ac:dyDescent="0.35">
      <c r="A4" s="60" t="s">
        <v>274</v>
      </c>
      <c r="B4" s="61">
        <f>MAX(1,MAX($Z$4:$AK$4))</f>
        <v>12</v>
      </c>
      <c r="C4" s="62" t="str">
        <f>INDEX('Monthly Inputs'!$B$7:$M$7,$B$4)</f>
        <v>Dec</v>
      </c>
      <c r="Z4" s="63">
        <f>IF(COUNT('Monthly Inputs'!B10:B12,'Monthly Inputs'!B15:B23,'Monthly Inputs'!B27:B32,'Monthly Inputs'!B36:B39)&gt;0,1,0)</f>
        <v>1</v>
      </c>
      <c r="AA4" s="63">
        <f>IF(COUNT('Monthly Inputs'!C10:C12,'Monthly Inputs'!C15:C23,'Monthly Inputs'!C27:C32,'Monthly Inputs'!C36:C39)&gt;0,2,0)</f>
        <v>2</v>
      </c>
      <c r="AB4" s="63">
        <f>IF(COUNT('Monthly Inputs'!D10:D12,'Monthly Inputs'!D15:D23,'Monthly Inputs'!D27:D32,'Monthly Inputs'!D36:D39)&gt;0,3,0)</f>
        <v>3</v>
      </c>
      <c r="AC4" s="63">
        <f>IF(COUNT('Monthly Inputs'!E10:E12,'Monthly Inputs'!E15:E23,'Monthly Inputs'!E27:E32,'Monthly Inputs'!E36:E39)&gt;0,4,0)</f>
        <v>4</v>
      </c>
      <c r="AD4" s="63">
        <f>IF(COUNT('Monthly Inputs'!F10:F12,'Monthly Inputs'!F15:F23,'Monthly Inputs'!F27:F32,'Monthly Inputs'!F36:F39)&gt;0,5,0)</f>
        <v>5</v>
      </c>
      <c r="AE4" s="63">
        <f>IF(COUNT('Monthly Inputs'!G10:G12,'Monthly Inputs'!G15:G23,'Monthly Inputs'!G27:G32,'Monthly Inputs'!G36:G39)&gt;0,6,0)</f>
        <v>6</v>
      </c>
      <c r="AF4" s="63">
        <f>IF(COUNT('Monthly Inputs'!H10:H12,'Monthly Inputs'!H15:H23,'Monthly Inputs'!H27:H32,'Monthly Inputs'!H36:H39)&gt;0,7,0)</f>
        <v>7</v>
      </c>
      <c r="AG4" s="63">
        <f>IF(COUNT('Monthly Inputs'!I10:I12,'Monthly Inputs'!I15:I23,'Monthly Inputs'!I27:I32,'Monthly Inputs'!I36:I39)&gt;0,8,0)</f>
        <v>8</v>
      </c>
      <c r="AH4" s="63">
        <f>IF(COUNT('Monthly Inputs'!J10:J12,'Monthly Inputs'!J15:J23,'Monthly Inputs'!J27:J32,'Monthly Inputs'!J36:J39)&gt;0,9,0)</f>
        <v>9</v>
      </c>
      <c r="AI4" s="63">
        <f>IF(COUNT('Monthly Inputs'!K10:K12,'Monthly Inputs'!K15:K23,'Monthly Inputs'!K27:K32,'Monthly Inputs'!K36:K39)&gt;0,10,0)</f>
        <v>10</v>
      </c>
      <c r="AJ4" s="63">
        <f>IF(COUNT('Monthly Inputs'!L10:L12,'Monthly Inputs'!L15:L23,'Monthly Inputs'!L27:L32,'Monthly Inputs'!L36:L39)&gt;0,11,0)</f>
        <v>11</v>
      </c>
      <c r="AK4" s="63">
        <f>IF(COUNT('Monthly Inputs'!M10:M12,'Monthly Inputs'!M15:M23,'Monthly Inputs'!M27:M32,'Monthly Inputs'!M36:M39)&gt;0,12,0)</f>
        <v>12</v>
      </c>
    </row>
    <row r="5" spans="1:37" ht="19.5" customHeight="1" x14ac:dyDescent="0.35">
      <c r="A5" s="125" t="s">
        <v>275</v>
      </c>
      <c r="B5" s="125"/>
      <c r="C5" s="125"/>
      <c r="D5" s="125"/>
      <c r="E5" s="125"/>
      <c r="F5" s="125"/>
      <c r="G5" s="125"/>
      <c r="H5" s="125"/>
      <c r="I5" s="125"/>
      <c r="J5" s="125"/>
      <c r="K5" s="125"/>
      <c r="L5" s="125"/>
      <c r="M5" s="125"/>
      <c r="N5" s="125"/>
      <c r="O5" s="125"/>
      <c r="P5" s="125"/>
      <c r="Q5" s="125"/>
      <c r="R5" s="125"/>
      <c r="S5" s="125"/>
      <c r="T5" s="125"/>
      <c r="U5" s="125"/>
      <c r="V5" s="125"/>
      <c r="Z5" s="63">
        <f>IF(COUNT('Monthly Inputs'!B10:B12)=3,1,0)</f>
        <v>1</v>
      </c>
      <c r="AA5" s="63">
        <f>IF(COUNT('Monthly Inputs'!C10:C12)=3,1,0)</f>
        <v>1</v>
      </c>
      <c r="AB5" s="63">
        <f>IF(COUNT('Monthly Inputs'!D10:D12)=3,1,0)</f>
        <v>1</v>
      </c>
      <c r="AC5" s="63">
        <f>IF(COUNT('Monthly Inputs'!E10:E12)=3,1,0)</f>
        <v>1</v>
      </c>
      <c r="AD5" s="63">
        <f>IF(COUNT('Monthly Inputs'!F10:F12)=3,1,0)</f>
        <v>1</v>
      </c>
      <c r="AE5" s="63">
        <f>IF(COUNT('Monthly Inputs'!G10:G12)=3,1,0)</f>
        <v>1</v>
      </c>
      <c r="AF5" s="63">
        <f>IF(COUNT('Monthly Inputs'!H10:H12)=3,1,0)</f>
        <v>1</v>
      </c>
      <c r="AG5" s="63">
        <f>IF(COUNT('Monthly Inputs'!I10:I12)=3,1,0)</f>
        <v>1</v>
      </c>
      <c r="AH5" s="63">
        <f>IF(COUNT('Monthly Inputs'!J10:J12)=3,1,0)</f>
        <v>1</v>
      </c>
      <c r="AI5" s="63">
        <f>IF(COUNT('Monthly Inputs'!K10:K12)=3,1,0)</f>
        <v>1</v>
      </c>
      <c r="AJ5" s="63">
        <f>IF(COUNT('Monthly Inputs'!L10:L12)=3,1,0)</f>
        <v>1</v>
      </c>
      <c r="AK5" s="63">
        <f>IF(COUNT('Monthly Inputs'!M10:M12)=3,1,0)</f>
        <v>1</v>
      </c>
    </row>
    <row r="6" spans="1:37" ht="6" customHeight="1" x14ac:dyDescent="0.35">
      <c r="Z6" s="63">
        <f>IF(COUNT('Monthly Inputs'!B15:B23)=9,1,0)</f>
        <v>1</v>
      </c>
      <c r="AA6" s="63">
        <f>IF(COUNT('Monthly Inputs'!C15:C23)=9,1,0)</f>
        <v>1</v>
      </c>
      <c r="AB6" s="63">
        <f>IF(COUNT('Monthly Inputs'!D15:D23)=9,1,0)</f>
        <v>1</v>
      </c>
      <c r="AC6" s="63">
        <f>IF(COUNT('Monthly Inputs'!E15:E23)=9,1,0)</f>
        <v>1</v>
      </c>
      <c r="AD6" s="63">
        <f>IF(COUNT('Monthly Inputs'!F15:F23)=9,1,0)</f>
        <v>1</v>
      </c>
      <c r="AE6" s="63">
        <f>IF(COUNT('Monthly Inputs'!G15:G23)=9,1,0)</f>
        <v>1</v>
      </c>
      <c r="AF6" s="63">
        <f>IF(COUNT('Monthly Inputs'!H15:H23)=9,1,0)</f>
        <v>1</v>
      </c>
      <c r="AG6" s="63">
        <f>IF(COUNT('Monthly Inputs'!I15:I23)=9,1,0)</f>
        <v>1</v>
      </c>
      <c r="AH6" s="63">
        <f>IF(COUNT('Monthly Inputs'!J15:J23)=9,1,0)</f>
        <v>1</v>
      </c>
      <c r="AI6" s="63">
        <f>IF(COUNT('Monthly Inputs'!K15:K23)=9,1,0)</f>
        <v>1</v>
      </c>
      <c r="AJ6" s="63">
        <f>IF(COUNT('Monthly Inputs'!L15:L23)=9,1,0)</f>
        <v>1</v>
      </c>
      <c r="AK6" s="63">
        <f>IF(COUNT('Monthly Inputs'!M15:M23)=9,1,0)</f>
        <v>1</v>
      </c>
    </row>
    <row r="7" spans="1:37" ht="25.5" customHeight="1" x14ac:dyDescent="0.35">
      <c r="A7" s="31" t="s">
        <v>75</v>
      </c>
      <c r="B7" s="32" t="s">
        <v>26</v>
      </c>
      <c r="C7" s="32" t="s">
        <v>27</v>
      </c>
      <c r="D7" s="32" t="s">
        <v>28</v>
      </c>
      <c r="E7" s="32" t="s">
        <v>29</v>
      </c>
      <c r="F7" s="32" t="s">
        <v>30</v>
      </c>
      <c r="G7" s="32" t="s">
        <v>31</v>
      </c>
      <c r="H7" s="32" t="s">
        <v>32</v>
      </c>
      <c r="I7" s="32" t="s">
        <v>33</v>
      </c>
      <c r="J7" s="32" t="s">
        <v>34</v>
      </c>
      <c r="K7" s="32" t="s">
        <v>35</v>
      </c>
      <c r="L7" s="32" t="s">
        <v>36</v>
      </c>
      <c r="M7" s="32" t="s">
        <v>37</v>
      </c>
      <c r="N7" s="32" t="s">
        <v>276</v>
      </c>
      <c r="O7" s="32" t="s">
        <v>277</v>
      </c>
      <c r="P7" s="32" t="s">
        <v>278</v>
      </c>
      <c r="Q7" s="32" t="s">
        <v>77</v>
      </c>
      <c r="R7" s="32" t="s">
        <v>78</v>
      </c>
      <c r="S7" s="32" t="s">
        <v>279</v>
      </c>
      <c r="T7" s="32" t="s">
        <v>280</v>
      </c>
      <c r="U7" s="32" t="s">
        <v>281</v>
      </c>
      <c r="V7" s="32" t="s">
        <v>282</v>
      </c>
      <c r="W7" s="59" t="s">
        <v>80</v>
      </c>
      <c r="X7" s="59" t="s">
        <v>283</v>
      </c>
      <c r="Y7" s="59" t="s">
        <v>284</v>
      </c>
    </row>
    <row r="8" spans="1:37" ht="19.5" customHeight="1" x14ac:dyDescent="0.35">
      <c r="A8" s="11" t="s">
        <v>83</v>
      </c>
      <c r="B8" s="11"/>
      <c r="C8" s="11"/>
      <c r="D8" s="11"/>
      <c r="E8" s="11"/>
      <c r="F8" s="11"/>
      <c r="G8" s="11"/>
      <c r="H8" s="11"/>
      <c r="I8" s="11"/>
      <c r="J8" s="11"/>
      <c r="K8" s="11"/>
      <c r="L8" s="11"/>
      <c r="M8" s="11"/>
      <c r="N8" s="11"/>
      <c r="O8" s="11"/>
      <c r="P8" s="11"/>
      <c r="Q8" s="11"/>
      <c r="R8" s="11"/>
      <c r="S8" s="11"/>
      <c r="T8" s="11"/>
      <c r="U8" s="11"/>
      <c r="V8" s="11"/>
    </row>
    <row r="9" spans="1:37" ht="15.75" customHeight="1" x14ac:dyDescent="0.35">
      <c r="A9" s="36" t="s">
        <v>84</v>
      </c>
      <c r="B9" s="64">
        <f>IF(COUNT('Monthly Inputs'!B10:B12)&lt;3,"",'Monthly Inputs'!B9)</f>
        <v>92000</v>
      </c>
      <c r="C9" s="64">
        <f>IF(COUNT('Monthly Inputs'!C10:C12)&lt;3,"",'Monthly Inputs'!C9)</f>
        <v>96000</v>
      </c>
      <c r="D9" s="64">
        <f>IF(COUNT('Monthly Inputs'!D10:D12)&lt;3,"",'Monthly Inputs'!D9)</f>
        <v>104000</v>
      </c>
      <c r="E9" s="64">
        <f>IF(COUNT('Monthly Inputs'!E10:E12)&lt;3,"",'Monthly Inputs'!E9)</f>
        <v>99000</v>
      </c>
      <c r="F9" s="64">
        <f>IF(COUNT('Monthly Inputs'!F10:F12)&lt;3,"",'Monthly Inputs'!F9)</f>
        <v>108000</v>
      </c>
      <c r="G9" s="64">
        <f>IF(COUNT('Monthly Inputs'!G10:G12)&lt;3,"",'Monthly Inputs'!G9)</f>
        <v>102000</v>
      </c>
      <c r="H9" s="64">
        <f>IF(COUNT('Monthly Inputs'!H10:H12)&lt;3,"",'Monthly Inputs'!H9)</f>
        <v>88000</v>
      </c>
      <c r="I9" s="64">
        <f>IF(COUNT('Monthly Inputs'!I10:I12)&lt;3,"",'Monthly Inputs'!I9)</f>
        <v>94000</v>
      </c>
      <c r="J9" s="64">
        <f>IF(COUNT('Monthly Inputs'!J10:J12)&lt;3,"",'Monthly Inputs'!J9)</f>
        <v>112000</v>
      </c>
      <c r="K9" s="64">
        <f>IF(COUNT('Monthly Inputs'!K10:K12)&lt;3,"",'Monthly Inputs'!K9)</f>
        <v>118000</v>
      </c>
      <c r="L9" s="64">
        <f>IF(COUNT('Monthly Inputs'!L10:L12)&lt;3,"",'Monthly Inputs'!L9)</f>
        <v>116000</v>
      </c>
      <c r="M9" s="64">
        <f>IF(COUNT('Monthly Inputs'!M10:M12)&lt;3,"",'Monthly Inputs'!M9)</f>
        <v>109000</v>
      </c>
      <c r="N9" s="65">
        <f>IFERROR(INDEX($B9:$M9,$B$4),"")</f>
        <v>109000</v>
      </c>
      <c r="O9" s="66">
        <f>IF($B$4&lt;=1,"",IFERROR(INDEX($B9:$M9,$B$4-1),""))</f>
        <v>116000</v>
      </c>
      <c r="P9" s="66">
        <f>IFERROR(SUM($B9:$M9),"")</f>
        <v>1238000</v>
      </c>
      <c r="Q9" s="67" t="str">
        <f>IFERROR(IF(ISBLANK(INDEX('KPI Targets'!$D$11:$D$40,MATCH($A9,'KPI Targets'!$B$11:$B$40,0))),"",INDEX('KPI Targets'!$D$11:$D$40,MATCH($A9,'KPI Targets'!$B$11:$B$40,0))),"")</f>
        <v/>
      </c>
      <c r="R9" s="68" t="str">
        <f>IFERROR(INDEX('KPI Targets'!$E$11:$E$40,MATCH($A9,'KPI Targets'!$B$11:$B$40,0)),"")</f>
        <v>Higher</v>
      </c>
      <c r="S9" s="69" t="str">
        <f>IF(OR($N9="",$Q9="",$Q9=0,AND($R9&lt;&gt;"Higher",$R9&lt;&gt;"Lower")),"",IFERROR(MIN(2,IF($R9="Lower",$Q9/$N9,$N9/$Q9)),""))</f>
        <v/>
      </c>
      <c r="T9" s="70" t="str">
        <f>IF($W9="Action",IF($S9="",1,$S9)+ROW()/1000000,IF($W9="Watch",10+IF($S9="",1,$S9)+ROW()/1000000,""))</f>
        <v/>
      </c>
      <c r="U9" s="71" t="str">
        <f>IF($N9="","",TEXT($N9,"$#,##0"))</f>
        <v>$109,000</v>
      </c>
      <c r="V9" s="71" t="str">
        <f>IF($Q9="","",TEXT($Q9,"$#,##0"))</f>
        <v/>
      </c>
      <c r="W9" s="59" t="str">
        <f>'KPI Dashboard'!$O$14</f>
        <v>Set target</v>
      </c>
      <c r="X9" s="72" t="str">
        <f>IF($W9&lt;&gt;"On Track","",IF($S9="",1,$S9)+ROW()/1000000)</f>
        <v/>
      </c>
      <c r="Y9" s="63">
        <f>IF(COUNT(INDEX('Monthly Inputs'!$B$10:$M$12,0,$B$4))=3,1,0)</f>
        <v>1</v>
      </c>
    </row>
    <row r="10" spans="1:37" ht="15.75" customHeight="1" x14ac:dyDescent="0.35">
      <c r="A10" s="36" t="s">
        <v>85</v>
      </c>
      <c r="B10" s="64">
        <f>IF(OR(COUNT('Monthly Inputs'!B10:B12)&lt;3,COUNT('Monthly Inputs'!B15:B23)&lt;9),"",'Monthly Inputs'!B9-'Monthly Inputs'!B24)</f>
        <v>27020</v>
      </c>
      <c r="C10" s="64">
        <f>IF(OR(COUNT('Monthly Inputs'!C10:C12)&lt;3,COUNT('Monthly Inputs'!C15:C23)&lt;9),"",'Monthly Inputs'!C9-'Monthly Inputs'!C24)</f>
        <v>28390</v>
      </c>
      <c r="D10" s="64">
        <f>IF(OR(COUNT('Monthly Inputs'!D10:D12)&lt;3,COUNT('Monthly Inputs'!D15:D23)&lt;9),"",'Monthly Inputs'!D9-'Monthly Inputs'!D24)</f>
        <v>33660</v>
      </c>
      <c r="E10" s="64">
        <f>IF(OR(COUNT('Monthly Inputs'!E10:E12)&lt;3,COUNT('Monthly Inputs'!E15:E23)&lt;9),"",'Monthly Inputs'!E9-'Monthly Inputs'!E24)</f>
        <v>30730</v>
      </c>
      <c r="F10" s="64">
        <f>IF(OR(COUNT('Monthly Inputs'!F10:F12)&lt;3,COUNT('Monthly Inputs'!F15:F23)&lt;9),"",'Monthly Inputs'!F9-'Monthly Inputs'!F24)</f>
        <v>33960</v>
      </c>
      <c r="G10" s="64">
        <f>IF(OR(COUNT('Monthly Inputs'!G10:G12)&lt;3,COUNT('Monthly Inputs'!G15:G23)&lt;9),"",'Monthly Inputs'!G9-'Monthly Inputs'!G24)</f>
        <v>32840</v>
      </c>
      <c r="H10" s="64">
        <f>IF(OR(COUNT('Monthly Inputs'!H10:H12)&lt;3,COUNT('Monthly Inputs'!H15:H23)&lt;9),"",'Monthly Inputs'!H9-'Monthly Inputs'!H24)</f>
        <v>25060</v>
      </c>
      <c r="I10" s="64">
        <f>IF(OR(COUNT('Monthly Inputs'!I10:I12)&lt;3,COUNT('Monthly Inputs'!I15:I23)&lt;9),"",'Monthly Inputs'!I9-'Monthly Inputs'!I24)</f>
        <v>26640</v>
      </c>
      <c r="J10" s="64">
        <f>IF(OR(COUNT('Monthly Inputs'!J10:J12)&lt;3,COUNT('Monthly Inputs'!J15:J23)&lt;9),"",'Monthly Inputs'!J9-'Monthly Inputs'!J24)</f>
        <v>35170</v>
      </c>
      <c r="K10" s="64">
        <f>IF(OR(COUNT('Monthly Inputs'!K10:K12)&lt;3,COUNT('Monthly Inputs'!K15:K23)&lt;9),"",'Monthly Inputs'!K9-'Monthly Inputs'!K24)</f>
        <v>38810</v>
      </c>
      <c r="L10" s="64">
        <f>IF(OR(COUNT('Monthly Inputs'!L10:L12)&lt;3,COUNT('Monthly Inputs'!L15:L23)&lt;9),"",'Monthly Inputs'!L9-'Monthly Inputs'!L24)</f>
        <v>38140</v>
      </c>
      <c r="M10" s="64">
        <f>IF(OR(COUNT('Monthly Inputs'!M10:M12)&lt;3,COUNT('Monthly Inputs'!M15:M23)&lt;9),"",'Monthly Inputs'!M9-'Monthly Inputs'!M24)</f>
        <v>33910</v>
      </c>
      <c r="N10" s="65">
        <f>IFERROR(INDEX($B10:$M10,$B$4),"")</f>
        <v>33910</v>
      </c>
      <c r="O10" s="66">
        <f>IF($B$4&lt;=1,"",IFERROR(INDEX($B10:$M10,$B$4-1),""))</f>
        <v>38140</v>
      </c>
      <c r="P10" s="66">
        <f>IFERROR(SUM($B10:$M10),"")</f>
        <v>384330</v>
      </c>
      <c r="Q10" s="67" t="str">
        <f>IFERROR(IF(ISBLANK(INDEX('KPI Targets'!$D$11:$D$40,MATCH($A10,'KPI Targets'!$B$11:$B$40,0))),"",INDEX('KPI Targets'!$D$11:$D$40,MATCH($A10,'KPI Targets'!$B$11:$B$40,0))),"")</f>
        <v/>
      </c>
      <c r="R10" s="68" t="str">
        <f>IFERROR(INDEX('KPI Targets'!$E$11:$E$40,MATCH($A10,'KPI Targets'!$B$11:$B$40,0)),"")</f>
        <v>Higher</v>
      </c>
      <c r="S10" s="69" t="str">
        <f>IF(OR($N10="",$Q10="",$Q10=0,AND($R10&lt;&gt;"Higher",$R10&lt;&gt;"Lower")),"",IFERROR(MIN(2,IF($R10="Lower",$Q10/$N10,$N10/$Q10)),""))</f>
        <v/>
      </c>
      <c r="T10" s="70" t="str">
        <f>IF($W10="Action",IF($S10="",1,$S10)+ROW()/1000000,IF($W10="Watch",10+IF($S10="",1,$S10)+ROW()/1000000,""))</f>
        <v/>
      </c>
      <c r="U10" s="71" t="str">
        <f>IF($N10="","",TEXT($N10,"$#,##0"))</f>
        <v>$33,910</v>
      </c>
      <c r="V10" s="71" t="str">
        <f>IF($Q10="","",TEXT($Q10,"$#,##0"))</f>
        <v/>
      </c>
      <c r="W10" s="59" t="str">
        <f>'KPI Dashboard'!$O$15</f>
        <v>Set target</v>
      </c>
      <c r="X10" s="72" t="str">
        <f>IF($W10&lt;&gt;"On Track","",IF($S10="",1,$S10)+ROW()/1000000)</f>
        <v/>
      </c>
      <c r="Y10" s="63">
        <f>IF(AND(COUNT(INDEX('Monthly Inputs'!$B$10:$M$12,0,$B$4))=3,COUNT(INDEX('Monthly Inputs'!$B$15:$M$23,0,$B$4))=9),1,0)</f>
        <v>1</v>
      </c>
    </row>
    <row r="11" spans="1:37" ht="15.75" customHeight="1" x14ac:dyDescent="0.35">
      <c r="A11" s="36" t="s">
        <v>86</v>
      </c>
      <c r="B11" s="73">
        <f>IF(OR(COUNT('Monthly Inputs'!B10:B12)&lt;3,COUNT('Monthly Inputs'!B15:B23)&lt;9,'Monthly Inputs'!B9=0),"",('Monthly Inputs'!B9-'Monthly Inputs'!B24)/'Monthly Inputs'!B9)</f>
        <v>0.29369565217391302</v>
      </c>
      <c r="C11" s="73">
        <f>IF(OR(COUNT('Monthly Inputs'!C10:C12)&lt;3,COUNT('Monthly Inputs'!C15:C23)&lt;9,'Monthly Inputs'!C9=0),"",('Monthly Inputs'!C9-'Monthly Inputs'!C24)/'Monthly Inputs'!C9)</f>
        <v>0.29572916666666665</v>
      </c>
      <c r="D11" s="73">
        <f>IF(OR(COUNT('Monthly Inputs'!D10:D12)&lt;3,COUNT('Monthly Inputs'!D15:D23)&lt;9,'Monthly Inputs'!D9=0),"",('Monthly Inputs'!D9-'Monthly Inputs'!D24)/'Monthly Inputs'!D9)</f>
        <v>0.32365384615384618</v>
      </c>
      <c r="E11" s="73">
        <f>IF(OR(COUNT('Monthly Inputs'!E10:E12)&lt;3,COUNT('Monthly Inputs'!E15:E23)&lt;9,'Monthly Inputs'!E9=0),"",('Monthly Inputs'!E9-'Monthly Inputs'!E24)/'Monthly Inputs'!E9)</f>
        <v>0.3104040404040404</v>
      </c>
      <c r="F11" s="73">
        <f>IF(OR(COUNT('Monthly Inputs'!F10:F12)&lt;3,COUNT('Monthly Inputs'!F15:F23)&lt;9,'Monthly Inputs'!F9=0),"",('Monthly Inputs'!F9-'Monthly Inputs'!F24)/'Monthly Inputs'!F9)</f>
        <v>0.31444444444444447</v>
      </c>
      <c r="G11" s="73">
        <f>IF(OR(COUNT('Monthly Inputs'!G10:G12)&lt;3,COUNT('Monthly Inputs'!G15:G23)&lt;9,'Monthly Inputs'!G9=0),"",('Monthly Inputs'!G9-'Monthly Inputs'!G24)/'Monthly Inputs'!G9)</f>
        <v>0.32196078431372549</v>
      </c>
      <c r="H11" s="73">
        <f>IF(OR(COUNT('Monthly Inputs'!H10:H12)&lt;3,COUNT('Monthly Inputs'!H15:H23)&lt;9,'Monthly Inputs'!H9=0),"",('Monthly Inputs'!H9-'Monthly Inputs'!H24)/'Monthly Inputs'!H9)</f>
        <v>0.28477272727272729</v>
      </c>
      <c r="I11" s="73">
        <f>IF(OR(COUNT('Monthly Inputs'!I10:I12)&lt;3,COUNT('Monthly Inputs'!I15:I23)&lt;9,'Monthly Inputs'!I9=0),"",('Monthly Inputs'!I9-'Monthly Inputs'!I24)/'Monthly Inputs'!I9)</f>
        <v>0.28340425531914892</v>
      </c>
      <c r="J11" s="73">
        <f>IF(OR(COUNT('Monthly Inputs'!J10:J12)&lt;3,COUNT('Monthly Inputs'!J15:J23)&lt;9,'Monthly Inputs'!J9=0),"",('Monthly Inputs'!J9-'Monthly Inputs'!J24)/'Monthly Inputs'!J9)</f>
        <v>0.31401785714285713</v>
      </c>
      <c r="K11" s="73">
        <f>IF(OR(COUNT('Monthly Inputs'!K10:K12)&lt;3,COUNT('Monthly Inputs'!K15:K23)&lt;9,'Monthly Inputs'!K9=0),"",('Monthly Inputs'!K9-'Monthly Inputs'!K24)/'Monthly Inputs'!K9)</f>
        <v>0.32889830508474577</v>
      </c>
      <c r="L11" s="73">
        <f>IF(OR(COUNT('Monthly Inputs'!L10:L12)&lt;3,COUNT('Monthly Inputs'!L15:L23)&lt;9,'Monthly Inputs'!L9=0),"",('Monthly Inputs'!L9-'Monthly Inputs'!L24)/'Monthly Inputs'!L9)</f>
        <v>0.32879310344827584</v>
      </c>
      <c r="M11" s="73">
        <f>IF(OR(COUNT('Monthly Inputs'!M10:M12)&lt;3,COUNT('Monthly Inputs'!M15:M23)&lt;9,'Monthly Inputs'!M9=0),"",('Monthly Inputs'!M9-'Monthly Inputs'!M24)/'Monthly Inputs'!M9)</f>
        <v>0.31110091743119267</v>
      </c>
      <c r="N11" s="74">
        <f>IFERROR(INDEX($B11:$M11,$B$4),"")</f>
        <v>0.31110091743119267</v>
      </c>
      <c r="O11" s="75">
        <f>IF($B$4&lt;=1,"",IFERROR(INDEX($B11:$M11,$B$4-1),""))</f>
        <v>0.32879310344827584</v>
      </c>
      <c r="P11" s="75">
        <f>IFERROR(AVERAGE($B11:$M11),"")</f>
        <v>0.30923959165463194</v>
      </c>
      <c r="Q11" s="76">
        <f>IFERROR(IF(ISBLANK(INDEX('KPI Targets'!$D$11:$D$40,MATCH($A11,'KPI Targets'!$B$11:$B$40,0))),"",INDEX('KPI Targets'!$D$11:$D$40,MATCH($A11,'KPI Targets'!$B$11:$B$40,0))),"")</f>
        <v>0.25</v>
      </c>
      <c r="R11" s="68" t="str">
        <f>IFERROR(INDEX('KPI Targets'!$E$11:$E$40,MATCH($A11,'KPI Targets'!$B$11:$B$40,0)),"")</f>
        <v>Higher</v>
      </c>
      <c r="S11" s="69">
        <f>IF(OR($N11="",$Q11="",$Q11=0,AND($R11&lt;&gt;"Higher",$R11&lt;&gt;"Lower")),"",IFERROR(MIN(2,IF($R11="Lower",$Q11/$N11,$N11/$Q11)),""))</f>
        <v>1.2444036697247707</v>
      </c>
      <c r="T11" s="70" t="str">
        <f>IF($W11="Action",IF($S11="",1,$S11)+ROW()/1000000,IF($W11="Watch",10+IF($S11="",1,$S11)+ROW()/1000000,""))</f>
        <v/>
      </c>
      <c r="U11" s="71" t="str">
        <f>IF($N11="","",TEXT($N11,"0.0%"))</f>
        <v>31.1%</v>
      </c>
      <c r="V11" s="71" t="str">
        <f>IF($Q11="","",TEXT($Q11,"0.0%"))</f>
        <v>25.0%</v>
      </c>
      <c r="W11" s="59" t="str">
        <f>'KPI Dashboard'!$O$16</f>
        <v>On Track</v>
      </c>
      <c r="X11" s="72">
        <f>IF($W11&lt;&gt;"On Track","",IF($S11="",1,$S11)+ROW()/1000000)</f>
        <v>1.2444146697247707</v>
      </c>
      <c r="Y11" s="63">
        <f>IF(AND(COUNT(INDEX('Monthly Inputs'!$B$10:$M$12,0,$B$4))=3,COUNT(INDEX('Monthly Inputs'!$B$15:$M$23,0,$B$4))=9),1,0)</f>
        <v>1</v>
      </c>
    </row>
    <row r="12" spans="1:37" ht="15.75" customHeight="1" x14ac:dyDescent="0.35">
      <c r="A12" s="36" t="s">
        <v>87</v>
      </c>
      <c r="B12" s="73">
        <f>IF(OR(COUNT('Monthly Inputs'!B10:B12)&lt;3,COUNT('Monthly Inputs'!B15:B23)&lt;9,NOT(ISNUMBER('Monthly Inputs'!B39)),'Monthly Inputs'!B9=0),"",('Monthly Inputs'!B9-'Monthly Inputs'!B24-'Monthly Inputs'!B39)/'Monthly Inputs'!B9)</f>
        <v>0.1632608695652174</v>
      </c>
      <c r="C12" s="73">
        <f>IF(OR(COUNT('Monthly Inputs'!C10:C12)&lt;3,COUNT('Monthly Inputs'!C15:C23)&lt;9,NOT(ISNUMBER('Monthly Inputs'!C39)),'Monthly Inputs'!C9=0),"",('Monthly Inputs'!C9-'Monthly Inputs'!C24-'Monthly Inputs'!C39)/'Monthly Inputs'!C9)</f>
        <v>0.17072916666666665</v>
      </c>
      <c r="D12" s="73">
        <f>IF(OR(COUNT('Monthly Inputs'!D10:D12)&lt;3,COUNT('Monthly Inputs'!D15:D23)&lt;9,NOT(ISNUMBER('Monthly Inputs'!D39)),'Monthly Inputs'!D9=0),"",('Monthly Inputs'!D9-'Monthly Inputs'!D24-'Monthly Inputs'!D39)/'Monthly Inputs'!D9)</f>
        <v>0.20826923076923076</v>
      </c>
      <c r="E12" s="73">
        <f>IF(OR(COUNT('Monthly Inputs'!E10:E12)&lt;3,COUNT('Monthly Inputs'!E15:E23)&lt;9,NOT(ISNUMBER('Monthly Inputs'!E39)),'Monthly Inputs'!E9=0),"",('Monthly Inputs'!E9-'Monthly Inputs'!E24-'Monthly Inputs'!E39)/'Monthly Inputs'!E9)</f>
        <v>0.18919191919191919</v>
      </c>
      <c r="F12" s="73">
        <f>IF(OR(COUNT('Monthly Inputs'!F10:F12)&lt;3,COUNT('Monthly Inputs'!F15:F23)&lt;9,NOT(ISNUMBER('Monthly Inputs'!F39)),'Monthly Inputs'!F9=0),"",('Monthly Inputs'!F9-'Monthly Inputs'!F24-'Monthly Inputs'!F39)/'Monthly Inputs'!F9)</f>
        <v>0.20333333333333334</v>
      </c>
      <c r="G12" s="73">
        <f>IF(OR(COUNT('Monthly Inputs'!G10:G12)&lt;3,COUNT('Monthly Inputs'!G15:G23)&lt;9,NOT(ISNUMBER('Monthly Inputs'!G39)),'Monthly Inputs'!G9=0),"",('Monthly Inputs'!G9-'Monthly Inputs'!G24-'Monthly Inputs'!G39)/'Monthly Inputs'!G9)</f>
        <v>0.20431372549019608</v>
      </c>
      <c r="H12" s="73">
        <f>IF(OR(COUNT('Monthly Inputs'!H10:H12)&lt;3,COUNT('Monthly Inputs'!H15:H23)&lt;9,NOT(ISNUMBER('Monthly Inputs'!H39)),'Monthly Inputs'!H9=0),"",('Monthly Inputs'!H9-'Monthly Inputs'!H24-'Monthly Inputs'!H39)/'Monthly Inputs'!H9)</f>
        <v>0.14840909090909091</v>
      </c>
      <c r="I12" s="73">
        <f>IF(OR(COUNT('Monthly Inputs'!I10:I12)&lt;3,COUNT('Monthly Inputs'!I15:I23)&lt;9,NOT(ISNUMBER('Monthly Inputs'!I39)),'Monthly Inputs'!I9=0),"",('Monthly Inputs'!I9-'Monthly Inputs'!I24-'Monthly Inputs'!I39)/'Monthly Inputs'!I9)</f>
        <v>0.15574468085106383</v>
      </c>
      <c r="J12" s="73">
        <f>IF(OR(COUNT('Monthly Inputs'!J10:J12)&lt;3,COUNT('Monthly Inputs'!J15:J23)&lt;9,NOT(ISNUMBER('Monthly Inputs'!J39)),'Monthly Inputs'!J9=0),"",('Monthly Inputs'!J9-'Monthly Inputs'!J24-'Monthly Inputs'!J39)/'Monthly Inputs'!J9)</f>
        <v>0.18901785714285715</v>
      </c>
      <c r="K12" s="73">
        <f>IF(OR(COUNT('Monthly Inputs'!K10:K12)&lt;3,COUNT('Monthly Inputs'!K15:K23)&lt;9,NOT(ISNUMBER('Monthly Inputs'!K39)),'Monthly Inputs'!K9=0),"",('Monthly Inputs'!K9-'Monthly Inputs'!K24-'Monthly Inputs'!K39)/'Monthly Inputs'!K9)</f>
        <v>0.21025423728813558</v>
      </c>
      <c r="L12" s="73">
        <f>IF(OR(COUNT('Monthly Inputs'!L10:L12)&lt;3,COUNT('Monthly Inputs'!L15:L23)&lt;9,NOT(ISNUMBER('Monthly Inputs'!L39)),'Monthly Inputs'!L9=0),"",('Monthly Inputs'!L9-'Monthly Inputs'!L24-'Monthly Inputs'!L39)/'Monthly Inputs'!L9)</f>
        <v>0.20810344827586208</v>
      </c>
      <c r="M12" s="73">
        <f>IF(OR(COUNT('Monthly Inputs'!M10:M12)&lt;3,COUNT('Monthly Inputs'!M15:M23)&lt;9,NOT(ISNUMBER('Monthly Inputs'!M39)),'Monthly Inputs'!M9=0),"",('Monthly Inputs'!M9-'Monthly Inputs'!M24-'Monthly Inputs'!M39)/'Monthly Inputs'!M9)</f>
        <v>0.1826605504587156</v>
      </c>
      <c r="N12" s="74">
        <f>IFERROR(INDEX($B12:$M12,$B$4),"")</f>
        <v>0.1826605504587156</v>
      </c>
      <c r="O12" s="75">
        <f>IF($B$4&lt;=1,"",IFERROR(INDEX($B12:$M12,$B$4-1),""))</f>
        <v>0.20810344827586208</v>
      </c>
      <c r="P12" s="75">
        <f>IFERROR(AVERAGE($B12:$M12),"")</f>
        <v>0.1861073424951907</v>
      </c>
      <c r="Q12" s="76">
        <f>IFERROR(IF(ISBLANK(INDEX('KPI Targets'!$D$11:$D$40,MATCH($A12,'KPI Targets'!$B$11:$B$40,0))),"",INDEX('KPI Targets'!$D$11:$D$40,MATCH($A12,'KPI Targets'!$B$11:$B$40,0))),"")</f>
        <v>0.15</v>
      </c>
      <c r="R12" s="68" t="str">
        <f>IFERROR(INDEX('KPI Targets'!$E$11:$E$40,MATCH($A12,'KPI Targets'!$B$11:$B$40,0)),"")</f>
        <v>Higher</v>
      </c>
      <c r="S12" s="69">
        <f>IF(OR($N12="",$Q12="",$Q12=0,AND($R12&lt;&gt;"Higher",$R12&lt;&gt;"Lower")),"",IFERROR(MIN(2,IF($R12="Lower",$Q12/$N12,$N12/$Q12)),""))</f>
        <v>1.2177370030581041</v>
      </c>
      <c r="T12" s="70" t="str">
        <f>IF($W12="Action",IF($S12="",1,$S12)+ROW()/1000000,IF($W12="Watch",10+IF($S12="",1,$S12)+ROW()/1000000,""))</f>
        <v/>
      </c>
      <c r="U12" s="71" t="str">
        <f>IF($N12="","",TEXT($N12,"0.0%"))</f>
        <v>18.3%</v>
      </c>
      <c r="V12" s="71" t="str">
        <f>IF($Q12="","",TEXT($Q12,"0.0%"))</f>
        <v>15.0%</v>
      </c>
      <c r="W12" s="59" t="str">
        <f>'KPI Dashboard'!$O$17</f>
        <v>On Track</v>
      </c>
      <c r="X12" s="72">
        <f>IF($W12&lt;&gt;"On Track","",IF($S12="",1,$S12)+ROW()/1000000)</f>
        <v>1.217749003058104</v>
      </c>
      <c r="Y12" s="63">
        <f>IF(AND(COUNT(INDEX('Monthly Inputs'!$B$10:$M$12,0,$B$4))=3,COUNT(INDEX('Monthly Inputs'!$B$15:$M$23,0,$B$4))=9,ISNUMBER(INDEX('Monthly Inputs'!$B$39:$M$39,0,$B$4))),1,0)</f>
        <v>1</v>
      </c>
    </row>
    <row r="13" spans="1:37" ht="15.75" customHeight="1" x14ac:dyDescent="0.35">
      <c r="A13" s="36" t="s">
        <v>88</v>
      </c>
      <c r="B13" s="73"/>
      <c r="C13" s="73">
        <f t="shared" ref="C13:M13" si="0">IF(OR(B9="",C9="",B9=0),"",C9/B9-1)</f>
        <v>4.3478260869565188E-2</v>
      </c>
      <c r="D13" s="73">
        <f t="shared" si="0"/>
        <v>8.3333333333333259E-2</v>
      </c>
      <c r="E13" s="73">
        <f t="shared" si="0"/>
        <v>-4.8076923076923128E-2</v>
      </c>
      <c r="F13" s="73">
        <f t="shared" si="0"/>
        <v>9.0909090909090828E-2</v>
      </c>
      <c r="G13" s="73">
        <f t="shared" si="0"/>
        <v>-5.555555555555558E-2</v>
      </c>
      <c r="H13" s="73">
        <f t="shared" si="0"/>
        <v>-0.13725490196078427</v>
      </c>
      <c r="I13" s="73">
        <f t="shared" si="0"/>
        <v>6.8181818181818121E-2</v>
      </c>
      <c r="J13" s="73">
        <f t="shared" si="0"/>
        <v>0.1914893617021276</v>
      </c>
      <c r="K13" s="73">
        <f t="shared" si="0"/>
        <v>5.3571428571428603E-2</v>
      </c>
      <c r="L13" s="73">
        <f t="shared" si="0"/>
        <v>-1.6949152542372836E-2</v>
      </c>
      <c r="M13" s="73">
        <f t="shared" si="0"/>
        <v>-6.0344827586206851E-2</v>
      </c>
      <c r="N13" s="74">
        <f>IFERROR(INDEX($B13:$M13,$B$4),"")</f>
        <v>-6.0344827586206851E-2</v>
      </c>
      <c r="O13" s="75">
        <f>IF($B$4&lt;=1,"",IFERROR(INDEX($B13:$M13,$B$4-1),""))</f>
        <v>-1.6949152542372836E-2</v>
      </c>
      <c r="P13" s="75">
        <f>IFERROR(AVERAGE($B13:$M13),"")</f>
        <v>1.934381207686554E-2</v>
      </c>
      <c r="Q13" s="76">
        <f>IFERROR(IF(ISBLANK(INDEX('KPI Targets'!$D$11:$D$40,MATCH($A13,'KPI Targets'!$B$11:$B$40,0))),"",INDEX('KPI Targets'!$D$11:$D$40,MATCH($A13,'KPI Targets'!$B$11:$B$40,0))),"")</f>
        <v>0</v>
      </c>
      <c r="R13" s="68" t="str">
        <f>IFERROR(INDEX('KPI Targets'!$E$11:$E$40,MATCH($A13,'KPI Targets'!$B$11:$B$40,0)),"")</f>
        <v>Higher</v>
      </c>
      <c r="S13" s="69" t="str">
        <f>IF(OR($N13="",$Q13="",$Q13=0,AND($R13&lt;&gt;"Higher",$R13&lt;&gt;"Lower")),"",IFERROR(MIN(2,IF($R13="Lower",$Q13/$N13,$N13/$Q13)),""))</f>
        <v/>
      </c>
      <c r="T13" s="70">
        <f>IF($W13="Action",IF($S13="",1,$S13)+ROW()/1000000,IF($W13="Watch",10+IF($S13="",1,$S13)+ROW()/1000000,""))</f>
        <v>1.000013</v>
      </c>
      <c r="U13" s="71" t="str">
        <f>IF($N13="","",TEXT($N13,"0.0%"))</f>
        <v>-6.0%</v>
      </c>
      <c r="V13" s="71" t="str">
        <f>IF($Q13="","",TEXT($Q13,"0.0%"))</f>
        <v>0.0%</v>
      </c>
      <c r="W13" s="59" t="str">
        <f>'KPI Dashboard'!$O$18</f>
        <v>Action</v>
      </c>
      <c r="X13" s="72" t="str">
        <f>IF($W13&lt;&gt;"On Track","",IF($S13="",1,$S13)+ROW()/1000000)</f>
        <v/>
      </c>
      <c r="Y13" s="63">
        <f>IF(AND(COUNT(INDEX('Monthly Inputs'!$B$10:$M$12,0,$B$4))=3,$B$4&gt;1,COUNT(INDEX('Monthly Inputs'!$B$10:$M$12,0,$B$4-1))=3),1,0)</f>
        <v>1</v>
      </c>
    </row>
    <row r="14" spans="1:37" ht="14.25" customHeight="1" x14ac:dyDescent="0.35">
      <c r="S14" s="77"/>
      <c r="T14" s="77"/>
      <c r="U14" s="77"/>
      <c r="V14" s="77"/>
    </row>
    <row r="15" spans="1:37" ht="19.5" customHeight="1" x14ac:dyDescent="0.35">
      <c r="A15" s="11" t="s">
        <v>61</v>
      </c>
      <c r="B15" s="11"/>
      <c r="C15" s="11"/>
      <c r="D15" s="11"/>
      <c r="E15" s="11"/>
      <c r="F15" s="11"/>
      <c r="G15" s="11"/>
      <c r="H15" s="11"/>
      <c r="I15" s="11"/>
      <c r="J15" s="11"/>
      <c r="K15" s="11"/>
      <c r="L15" s="11"/>
      <c r="M15" s="11"/>
      <c r="N15" s="11"/>
      <c r="O15" s="11"/>
      <c r="P15" s="11"/>
      <c r="Q15" s="11"/>
      <c r="R15" s="11"/>
      <c r="S15" s="11"/>
      <c r="T15" s="11"/>
      <c r="U15" s="11"/>
      <c r="V15" s="11"/>
    </row>
    <row r="16" spans="1:37" ht="15.75" customHeight="1" x14ac:dyDescent="0.35">
      <c r="A16" s="36" t="s">
        <v>89</v>
      </c>
      <c r="B16" s="64">
        <f>IF(NOT(ISNUMBER('Monthly Inputs'!B36)),"",'Monthly Inputs'!B36)</f>
        <v>155500</v>
      </c>
      <c r="C16" s="64">
        <f>IF(NOT(ISNUMBER('Monthly Inputs'!C36)),"",'Monthly Inputs'!C36)</f>
        <v>164900</v>
      </c>
      <c r="D16" s="64">
        <f>IF(NOT(ISNUMBER('Monthly Inputs'!D36)),"",'Monthly Inputs'!D36)</f>
        <v>175600</v>
      </c>
      <c r="E16" s="64">
        <f>IF(NOT(ISNUMBER('Monthly Inputs'!E36)),"",'Monthly Inputs'!E36)</f>
        <v>185800</v>
      </c>
      <c r="F16" s="64">
        <f>IF(NOT(ISNUMBER('Monthly Inputs'!F36)),"",'Monthly Inputs'!F36)</f>
        <v>195800</v>
      </c>
      <c r="G16" s="64">
        <f>IF(NOT(ISNUMBER('Monthly Inputs'!G36)),"",'Monthly Inputs'!G36)</f>
        <v>209100</v>
      </c>
      <c r="H16" s="64">
        <f>IF(NOT(ISNUMBER('Monthly Inputs'!H36)),"",'Monthly Inputs'!H36)</f>
        <v>216200</v>
      </c>
      <c r="I16" s="64">
        <f>IF(NOT(ISNUMBER('Monthly Inputs'!I36)),"",'Monthly Inputs'!I36)</f>
        <v>221800</v>
      </c>
      <c r="J16" s="64">
        <f>IF(NOT(ISNUMBER('Monthly Inputs'!J36)),"",'Monthly Inputs'!J36)</f>
        <v>229500</v>
      </c>
      <c r="K16" s="64">
        <f>IF(NOT(ISNUMBER('Monthly Inputs'!K36)),"",'Monthly Inputs'!K36)</f>
        <v>246300</v>
      </c>
      <c r="L16" s="64">
        <f>IF(NOT(ISNUMBER('Monthly Inputs'!L36)),"",'Monthly Inputs'!L36)</f>
        <v>263400</v>
      </c>
      <c r="M16" s="64">
        <f>IF(NOT(ISNUMBER('Monthly Inputs'!M36)),"",'Monthly Inputs'!M36)</f>
        <v>272800</v>
      </c>
      <c r="N16" s="65">
        <f t="shared" ref="N16:N21" si="1">IFERROR(INDEX($B16:$M16,$B$4),"")</f>
        <v>272800</v>
      </c>
      <c r="O16" s="66">
        <f t="shared" ref="O16:O21" si="2">IF($B$4&lt;=1,"",IFERROR(INDEX($B16:$M16,$B$4-1),""))</f>
        <v>263400</v>
      </c>
      <c r="P16" s="66">
        <f>IFERROR(AVERAGE($B16:$M16),"")</f>
        <v>211391.66666666666</v>
      </c>
      <c r="Q16" s="67" t="str">
        <f>IFERROR(IF(ISBLANK(INDEX('KPI Targets'!$D$11:$D$40,MATCH($A16,'KPI Targets'!$B$11:$B$40,0))),"",INDEX('KPI Targets'!$D$11:$D$40,MATCH($A16,'KPI Targets'!$B$11:$B$40,0))),"")</f>
        <v/>
      </c>
      <c r="R16" s="68" t="str">
        <f>IFERROR(INDEX('KPI Targets'!$E$11:$E$40,MATCH($A16,'KPI Targets'!$B$11:$B$40,0)),"")</f>
        <v>Higher</v>
      </c>
      <c r="S16" s="69" t="str">
        <f t="shared" ref="S16:S21" si="3">IF(OR($N16="",$Q16="",$Q16=0,AND($R16&lt;&gt;"Higher",$R16&lt;&gt;"Lower")),"",IFERROR(MIN(2,IF($R16="Lower",$Q16/$N16,$N16/$Q16)),""))</f>
        <v/>
      </c>
      <c r="T16" s="70" t="str">
        <f t="shared" ref="T16:T21" si="4">IF($W16="Action",IF($S16="",1,$S16)+ROW()/1000000,IF($W16="Watch",10+IF($S16="",1,$S16)+ROW()/1000000,""))</f>
        <v/>
      </c>
      <c r="U16" s="71" t="str">
        <f>IF($N16="","",TEXT($N16,"$#,##0"))</f>
        <v>$272,800</v>
      </c>
      <c r="V16" s="71" t="str">
        <f>IF($Q16="","",TEXT($Q16,"$#,##0"))</f>
        <v/>
      </c>
      <c r="W16" s="59" t="str">
        <f>'KPI Dashboard'!$O$21</f>
        <v>Set target</v>
      </c>
      <c r="X16" s="72" t="str">
        <f t="shared" ref="X16:X21" si="5">IF($W16&lt;&gt;"On Track","",IF($S16="",1,$S16)+ROW()/1000000)</f>
        <v/>
      </c>
      <c r="Y16" s="63">
        <f>IF(ISNUMBER(INDEX('Monthly Inputs'!$B$36:$M$36,0,$B$4)),1,0)</f>
        <v>1</v>
      </c>
    </row>
    <row r="17" spans="1:25" ht="15.75" customHeight="1" x14ac:dyDescent="0.35">
      <c r="A17" s="36" t="s">
        <v>90</v>
      </c>
      <c r="B17" s="78">
        <f>IF(OR(NOT(ISNUMBER('Monthly Inputs'!B36)),COUNT('Monthly Inputs'!B15:B23)&lt;9,NOT(ISNUMBER('Monthly Inputs'!B39)),('Monthly Inputs'!B24+'Monthly Inputs'!B39)=0),"",'Monthly Inputs'!B36/('Monthly Inputs'!B24+'Monthly Inputs'!B39))</f>
        <v>2.0200051961548455</v>
      </c>
      <c r="C17" s="78">
        <f>IF(OR(NOT(ISNUMBER('Monthly Inputs'!C36)),COUNT('Monthly Inputs'!C15:C23)&lt;9,NOT(ISNUMBER('Monthly Inputs'!C39)),('Monthly Inputs'!C24+'Monthly Inputs'!C39)=0),"",'Monthly Inputs'!C36/('Monthly Inputs'!C24+'Monthly Inputs'!C39))</f>
        <v>2.0713478206255496</v>
      </c>
      <c r="D17" s="78">
        <f>IF(OR(NOT(ISNUMBER('Monthly Inputs'!D36)),COUNT('Monthly Inputs'!D15:D23)&lt;9,NOT(ISNUMBER('Monthly Inputs'!D39)),('Monthly Inputs'!D24+'Monthly Inputs'!D39)=0),"",'Monthly Inputs'!D36/('Monthly Inputs'!D24+'Monthly Inputs'!D39))</f>
        <v>2.13262084041778</v>
      </c>
      <c r="E17" s="78">
        <f>IF(OR(NOT(ISNUMBER('Monthly Inputs'!E36)),COUNT('Monthly Inputs'!E15:E23)&lt;9,NOT(ISNUMBER('Monthly Inputs'!E39)),('Monthly Inputs'!E24+'Monthly Inputs'!E39)=0),"",'Monthly Inputs'!E36/('Monthly Inputs'!E24+'Monthly Inputs'!E39))</f>
        <v>2.3146879282421828</v>
      </c>
      <c r="F17" s="78">
        <f>IF(OR(NOT(ISNUMBER('Monthly Inputs'!F36)),COUNT('Monthly Inputs'!F15:F23)&lt;9,NOT(ISNUMBER('Monthly Inputs'!F39)),('Monthly Inputs'!F24+'Monthly Inputs'!F39)=0),"",'Monthly Inputs'!F36/('Monthly Inputs'!F24+'Monthly Inputs'!F39))</f>
        <v>2.2756857275685727</v>
      </c>
      <c r="G17" s="78">
        <f>IF(OR(NOT(ISNUMBER('Monthly Inputs'!G36)),COUNT('Monthly Inputs'!G15:G23)&lt;9,NOT(ISNUMBER('Monthly Inputs'!G39)),('Monthly Inputs'!G24+'Monthly Inputs'!G39)=0),"",'Monthly Inputs'!G36/('Monthly Inputs'!G24+'Monthly Inputs'!G39))</f>
        <v>2.5763923114834895</v>
      </c>
      <c r="H17" s="78">
        <f>IF(OR(NOT(ISNUMBER('Monthly Inputs'!H36)),COUNT('Monthly Inputs'!H15:H23)&lt;9,NOT(ISNUMBER('Monthly Inputs'!H39)),('Monthly Inputs'!H24+'Monthly Inputs'!H39)=0),"",'Monthly Inputs'!H36/('Monthly Inputs'!H24+'Monthly Inputs'!H39))</f>
        <v>2.8849746463837738</v>
      </c>
      <c r="I17" s="78">
        <f>IF(OR(NOT(ISNUMBER('Monthly Inputs'!I36)),COUNT('Monthly Inputs'!I15:I23)&lt;9,NOT(ISNUMBER('Monthly Inputs'!I39)),('Monthly Inputs'!I24+'Monthly Inputs'!I39)=0),"",'Monthly Inputs'!I36/('Monthly Inputs'!I24+'Monthly Inputs'!I39))</f>
        <v>2.794858870967742</v>
      </c>
      <c r="J17" s="78">
        <f>IF(OR(NOT(ISNUMBER('Monthly Inputs'!J36)),COUNT('Monthly Inputs'!J15:J23)&lt;9,NOT(ISNUMBER('Monthly Inputs'!J39)),('Monthly Inputs'!J24+'Monthly Inputs'!J39)=0),"",'Monthly Inputs'!J36/('Monthly Inputs'!J24+'Monthly Inputs'!J39))</f>
        <v>2.5266982274578882</v>
      </c>
      <c r="K17" s="78">
        <f>IF(OR(NOT(ISNUMBER('Monthly Inputs'!K36)),COUNT('Monthly Inputs'!K15:K23)&lt;9,NOT(ISNUMBER('Monthly Inputs'!K39)),('Monthly Inputs'!K24+'Monthly Inputs'!K39)=0),"",'Monthly Inputs'!K36/('Monthly Inputs'!K24+'Monthly Inputs'!K39))</f>
        <v>2.6429874450048287</v>
      </c>
      <c r="L17" s="78">
        <f>IF(OR(NOT(ISNUMBER('Monthly Inputs'!L36)),COUNT('Monthly Inputs'!L15:L23)&lt;9,NOT(ISNUMBER('Monthly Inputs'!L39)),('Monthly Inputs'!L24+'Monthly Inputs'!L39)=0),"",'Monthly Inputs'!L36/('Monthly Inputs'!L24+'Monthly Inputs'!L39))</f>
        <v>2.86740692357936</v>
      </c>
      <c r="M17" s="78">
        <f>IF(OR(NOT(ISNUMBER('Monthly Inputs'!M36)),COUNT('Monthly Inputs'!M15:M23)&lt;9,NOT(ISNUMBER('Monthly Inputs'!M39)),('Monthly Inputs'!M24+'Monthly Inputs'!M39)=0),"",'Monthly Inputs'!M36/('Monthly Inputs'!M24+'Monthly Inputs'!M39))</f>
        <v>3.0620720619598161</v>
      </c>
      <c r="N17" s="79">
        <f t="shared" si="1"/>
        <v>3.0620720619598161</v>
      </c>
      <c r="O17" s="80">
        <f t="shared" si="2"/>
        <v>2.86740692357936</v>
      </c>
      <c r="P17" s="80">
        <f>IFERROR(AVERAGE($B17:$M17),"")</f>
        <v>2.5141448333204854</v>
      </c>
      <c r="Q17" s="81">
        <f>IFERROR(IF(ISBLANK(INDEX('KPI Targets'!$D$11:$D$40,MATCH($A17,'KPI Targets'!$B$11:$B$40,0))),"",INDEX('KPI Targets'!$D$11:$D$40,MATCH($A17,'KPI Targets'!$B$11:$B$40,0))),"")</f>
        <v>3</v>
      </c>
      <c r="R17" s="68" t="str">
        <f>IFERROR(INDEX('KPI Targets'!$E$11:$E$40,MATCH($A17,'KPI Targets'!$B$11:$B$40,0)),"")</f>
        <v>Higher</v>
      </c>
      <c r="S17" s="69">
        <f t="shared" si="3"/>
        <v>1.0206906873199386</v>
      </c>
      <c r="T17" s="70" t="str">
        <f t="shared" si="4"/>
        <v/>
      </c>
      <c r="U17" s="71" t="str">
        <f>IF($N17="","",TEXT($N17,"0.0"))</f>
        <v>3.1</v>
      </c>
      <c r="V17" s="71" t="str">
        <f>IF($Q17="","",TEXT($Q17,"0.0"))</f>
        <v>3.0</v>
      </c>
      <c r="W17" s="59" t="str">
        <f>'KPI Dashboard'!$O$22</f>
        <v>On Track</v>
      </c>
      <c r="X17" s="72">
        <f t="shared" si="5"/>
        <v>1.0207076873199386</v>
      </c>
      <c r="Y17" s="63">
        <f>IF(AND(ISNUMBER(INDEX('Monthly Inputs'!$B$36:$M$36,0,$B$4)),COUNT(INDEX('Monthly Inputs'!$B$15:$M$23,0,$B$4))=9,ISNUMBER(INDEX('Monthly Inputs'!$B$39:$M$39,0,$B$4))),1,0)</f>
        <v>1</v>
      </c>
    </row>
    <row r="18" spans="1:25" ht="15.75" customHeight="1" x14ac:dyDescent="0.35">
      <c r="A18" s="36" t="s">
        <v>91</v>
      </c>
      <c r="B18" s="64">
        <f>IF(OR(NOT(ISNUMBER('Monthly Inputs'!B35)),NOT(ISNUMBER('Monthly Inputs'!B36))),"",'Monthly Inputs'!B36-'Monthly Inputs'!B35)</f>
        <v>5500</v>
      </c>
      <c r="C18" s="64">
        <f>IF(OR(NOT(ISNUMBER('Monthly Inputs'!B36)),NOT(ISNUMBER('Monthly Inputs'!C36))),"",'Monthly Inputs'!C36-'Monthly Inputs'!C35)</f>
        <v>9400</v>
      </c>
      <c r="D18" s="64">
        <f>IF(OR(NOT(ISNUMBER('Monthly Inputs'!C36)),NOT(ISNUMBER('Monthly Inputs'!D36))),"",'Monthly Inputs'!D36-'Monthly Inputs'!D35)</f>
        <v>10700</v>
      </c>
      <c r="E18" s="64">
        <f>IF(OR(NOT(ISNUMBER('Monthly Inputs'!D36)),NOT(ISNUMBER('Monthly Inputs'!E36))),"",'Monthly Inputs'!E36-'Monthly Inputs'!E35)</f>
        <v>10200</v>
      </c>
      <c r="F18" s="64">
        <f>IF(OR(NOT(ISNUMBER('Monthly Inputs'!E36)),NOT(ISNUMBER('Monthly Inputs'!F36))),"",'Monthly Inputs'!F36-'Monthly Inputs'!F35)</f>
        <v>10000</v>
      </c>
      <c r="G18" s="64">
        <f>IF(OR(NOT(ISNUMBER('Monthly Inputs'!F36)),NOT(ISNUMBER('Monthly Inputs'!G36))),"",'Monthly Inputs'!G36-'Monthly Inputs'!G35)</f>
        <v>13300</v>
      </c>
      <c r="H18" s="64">
        <f>IF(OR(NOT(ISNUMBER('Monthly Inputs'!G36)),NOT(ISNUMBER('Monthly Inputs'!H36))),"",'Monthly Inputs'!H36-'Monthly Inputs'!H35)</f>
        <v>7100</v>
      </c>
      <c r="I18" s="64">
        <f>IF(OR(NOT(ISNUMBER('Monthly Inputs'!H36)),NOT(ISNUMBER('Monthly Inputs'!I36))),"",'Monthly Inputs'!I36-'Monthly Inputs'!I35)</f>
        <v>5600</v>
      </c>
      <c r="J18" s="64">
        <f>IF(OR(NOT(ISNUMBER('Monthly Inputs'!I36)),NOT(ISNUMBER('Monthly Inputs'!J36))),"",'Monthly Inputs'!J36-'Monthly Inputs'!J35)</f>
        <v>7700</v>
      </c>
      <c r="K18" s="64">
        <f>IF(OR(NOT(ISNUMBER('Monthly Inputs'!J36)),NOT(ISNUMBER('Monthly Inputs'!K36))),"",'Monthly Inputs'!K36-'Monthly Inputs'!K35)</f>
        <v>16800</v>
      </c>
      <c r="L18" s="64">
        <f>IF(OR(NOT(ISNUMBER('Monthly Inputs'!K36)),NOT(ISNUMBER('Monthly Inputs'!L36))),"",'Monthly Inputs'!L36-'Monthly Inputs'!L35)</f>
        <v>17100</v>
      </c>
      <c r="M18" s="64">
        <f>IF(OR(NOT(ISNUMBER('Monthly Inputs'!L36)),NOT(ISNUMBER('Monthly Inputs'!M36))),"",'Monthly Inputs'!M36-'Monthly Inputs'!M35)</f>
        <v>9400</v>
      </c>
      <c r="N18" s="65">
        <f t="shared" si="1"/>
        <v>9400</v>
      </c>
      <c r="O18" s="66">
        <f t="shared" si="2"/>
        <v>17100</v>
      </c>
      <c r="P18" s="66">
        <f>IFERROR(SUM($B18:$M18),"")</f>
        <v>122800</v>
      </c>
      <c r="Q18" s="67">
        <f>IFERROR(IF(ISBLANK(INDEX('KPI Targets'!$D$11:$D$40,MATCH($A18,'KPI Targets'!$B$11:$B$40,0))),"",INDEX('KPI Targets'!$D$11:$D$40,MATCH($A18,'KPI Targets'!$B$11:$B$40,0))),"")</f>
        <v>0</v>
      </c>
      <c r="R18" s="68" t="str">
        <f>IFERROR(INDEX('KPI Targets'!$E$11:$E$40,MATCH($A18,'KPI Targets'!$B$11:$B$40,0)),"")</f>
        <v>Higher</v>
      </c>
      <c r="S18" s="69" t="str">
        <f t="shared" si="3"/>
        <v/>
      </c>
      <c r="T18" s="70" t="str">
        <f t="shared" si="4"/>
        <v/>
      </c>
      <c r="U18" s="71" t="str">
        <f>IF($N18="","",TEXT($N18,"$#,##0"))</f>
        <v>$9,400</v>
      </c>
      <c r="V18" s="71" t="str">
        <f>IF($Q18="","",TEXT($Q18,"$#,##0"))</f>
        <v>$0</v>
      </c>
      <c r="W18" s="59" t="str">
        <f>'KPI Dashboard'!$O$23</f>
        <v>On Track</v>
      </c>
      <c r="X18" s="72">
        <f t="shared" si="5"/>
        <v>1.0000180000000001</v>
      </c>
      <c r="Y18" s="63">
        <f>IF(AND(ISNUMBER(INDEX('Monthly Inputs'!$B$36:$M$36,0,$B$4)),IF($B$4=1,ISNUMBER('Monthly Inputs'!$B$35),ISNUMBER(INDEX('Monthly Inputs'!$B$36:$M$36,0,$B$4-1)))),1,0)</f>
        <v>1</v>
      </c>
    </row>
    <row r="19" spans="1:25" ht="15.75" customHeight="1" x14ac:dyDescent="0.35">
      <c r="A19" s="36" t="s">
        <v>92</v>
      </c>
      <c r="B19" s="64">
        <f>IF(OR(NOT(ISNUMBER('Monthly Inputs'!B36)),NOT(ISNUMBER('Monthly Inputs'!B37)),NOT(ISNUMBER('Monthly Inputs'!B38))),"",'Monthly Inputs'!B36+'Monthly Inputs'!B37-'Monthly Inputs'!B38)</f>
        <v>162500</v>
      </c>
      <c r="C19" s="64">
        <f>IF(OR(NOT(ISNUMBER('Monthly Inputs'!C36)),NOT(ISNUMBER('Monthly Inputs'!C37)),NOT(ISNUMBER('Monthly Inputs'!C38))),"",'Monthly Inputs'!C36+'Monthly Inputs'!C37-'Monthly Inputs'!C38)</f>
        <v>172900</v>
      </c>
      <c r="D19" s="64">
        <f>IF(OR(NOT(ISNUMBER('Monthly Inputs'!D36)),NOT(ISNUMBER('Monthly Inputs'!D37)),NOT(ISNUMBER('Monthly Inputs'!D38))),"",'Monthly Inputs'!D36+'Monthly Inputs'!D37-'Monthly Inputs'!D38)</f>
        <v>184600</v>
      </c>
      <c r="E19" s="64">
        <f>IF(OR(NOT(ISNUMBER('Monthly Inputs'!E36)),NOT(ISNUMBER('Monthly Inputs'!E37)),NOT(ISNUMBER('Monthly Inputs'!E38))),"",'Monthly Inputs'!E36+'Monthly Inputs'!E37-'Monthly Inputs'!E38)</f>
        <v>194300</v>
      </c>
      <c r="F19" s="64">
        <f>IF(OR(NOT(ISNUMBER('Monthly Inputs'!F36)),NOT(ISNUMBER('Monthly Inputs'!F37)),NOT(ISNUMBER('Monthly Inputs'!F38))),"",'Monthly Inputs'!F36+'Monthly Inputs'!F37-'Monthly Inputs'!F38)</f>
        <v>205800</v>
      </c>
      <c r="G19" s="64">
        <f>IF(OR(NOT(ISNUMBER('Monthly Inputs'!G36)),NOT(ISNUMBER('Monthly Inputs'!G37)),NOT(ISNUMBER('Monthly Inputs'!G38))),"",'Monthly Inputs'!G36+'Monthly Inputs'!G37-'Monthly Inputs'!G38)</f>
        <v>218100</v>
      </c>
      <c r="H19" s="64">
        <f>IF(OR(NOT(ISNUMBER('Monthly Inputs'!H36)),NOT(ISNUMBER('Monthly Inputs'!H37)),NOT(ISNUMBER('Monthly Inputs'!H38))),"",'Monthly Inputs'!H36+'Monthly Inputs'!H37-'Monthly Inputs'!H38)</f>
        <v>224700</v>
      </c>
      <c r="I19" s="64">
        <f>IF(OR(NOT(ISNUMBER('Monthly Inputs'!I36)),NOT(ISNUMBER('Monthly Inputs'!I37)),NOT(ISNUMBER('Monthly Inputs'!I38))),"",'Monthly Inputs'!I36+'Monthly Inputs'!I37-'Monthly Inputs'!I38)</f>
        <v>230800</v>
      </c>
      <c r="J19" s="64">
        <f>IF(OR(NOT(ISNUMBER('Monthly Inputs'!J36)),NOT(ISNUMBER('Monthly Inputs'!J37)),NOT(ISNUMBER('Monthly Inputs'!J38))),"",'Monthly Inputs'!J36+'Monthly Inputs'!J37-'Monthly Inputs'!J38)</f>
        <v>241000</v>
      </c>
      <c r="K19" s="64">
        <f>IF(OR(NOT(ISNUMBER('Monthly Inputs'!K36)),NOT(ISNUMBER('Monthly Inputs'!K37)),NOT(ISNUMBER('Monthly Inputs'!K38))),"",'Monthly Inputs'!K36+'Monthly Inputs'!K37-'Monthly Inputs'!K38)</f>
        <v>259300</v>
      </c>
      <c r="L19" s="64">
        <f>IF(OR(NOT(ISNUMBER('Monthly Inputs'!L36)),NOT(ISNUMBER('Monthly Inputs'!L37)),NOT(ISNUMBER('Monthly Inputs'!L38))),"",'Monthly Inputs'!L36+'Monthly Inputs'!L37-'Monthly Inputs'!L38)</f>
        <v>274900</v>
      </c>
      <c r="M19" s="64">
        <f>IF(OR(NOT(ISNUMBER('Monthly Inputs'!M36)),NOT(ISNUMBER('Monthly Inputs'!M37)),NOT(ISNUMBER('Monthly Inputs'!M38))),"",'Monthly Inputs'!M36+'Monthly Inputs'!M37-'Monthly Inputs'!M38)</f>
        <v>285300</v>
      </c>
      <c r="N19" s="65">
        <f t="shared" si="1"/>
        <v>285300</v>
      </c>
      <c r="O19" s="66">
        <f t="shared" si="2"/>
        <v>274900</v>
      </c>
      <c r="P19" s="66">
        <f>IFERROR(AVERAGE($B19:$M19),"")</f>
        <v>221183.33333333334</v>
      </c>
      <c r="Q19" s="67" t="str">
        <f>IFERROR(IF(ISBLANK(INDEX('KPI Targets'!$D$11:$D$40,MATCH($A19,'KPI Targets'!$B$11:$B$40,0))),"",INDEX('KPI Targets'!$D$11:$D$40,MATCH($A19,'KPI Targets'!$B$11:$B$40,0))),"")</f>
        <v/>
      </c>
      <c r="R19" s="68" t="str">
        <f>IFERROR(INDEX('KPI Targets'!$E$11:$E$40,MATCH($A19,'KPI Targets'!$B$11:$B$40,0)),"")</f>
        <v>Higher</v>
      </c>
      <c r="S19" s="69" t="str">
        <f t="shared" si="3"/>
        <v/>
      </c>
      <c r="T19" s="70" t="str">
        <f t="shared" si="4"/>
        <v/>
      </c>
      <c r="U19" s="71" t="str">
        <f>IF($N19="","",TEXT($N19,"$#,##0"))</f>
        <v>$285,300</v>
      </c>
      <c r="V19" s="71" t="str">
        <f>IF($Q19="","",TEXT($Q19,"$#,##0"))</f>
        <v/>
      </c>
      <c r="W19" s="59" t="str">
        <f>'KPI Dashboard'!$O$24</f>
        <v>Set target</v>
      </c>
      <c r="X19" s="72" t="str">
        <f t="shared" si="5"/>
        <v/>
      </c>
      <c r="Y19" s="63">
        <f>IF(AND(ISNUMBER(INDEX('Monthly Inputs'!$B$36:$M$36,0,$B$4)),ISNUMBER(INDEX('Monthly Inputs'!$B$37:$M$37,0,$B$4)),ISNUMBER(INDEX('Monthly Inputs'!$B$38:$M$38,0,$B$4))),1,0)</f>
        <v>1</v>
      </c>
    </row>
    <row r="20" spans="1:25" ht="15.75" customHeight="1" x14ac:dyDescent="0.35">
      <c r="A20" s="36" t="s">
        <v>93</v>
      </c>
      <c r="B20" s="82">
        <f>IF(OR(NOT(ISNUMBER('Monthly Inputs'!B36)),NOT(ISNUMBER('Monthly Inputs'!B37)),NOT(ISNUMBER('Monthly Inputs'!B38)),'Monthly Inputs'!B38=0),"",('Monthly Inputs'!B36+'Monthly Inputs'!B37)/'Monthly Inputs'!B38)</f>
        <v>8.5581395348837201</v>
      </c>
      <c r="C20" s="82">
        <f>IF(OR(NOT(ISNUMBER('Monthly Inputs'!C36)),NOT(ISNUMBER('Monthly Inputs'!C37)),NOT(ISNUMBER('Monthly Inputs'!C38)),'Monthly Inputs'!C38=0),"",('Monthly Inputs'!C36+'Monthly Inputs'!C37)/'Monthly Inputs'!C38)</f>
        <v>8.8590909090909093</v>
      </c>
      <c r="D20" s="82">
        <f>IF(OR(NOT(ISNUMBER('Monthly Inputs'!D36)),NOT(ISNUMBER('Monthly Inputs'!D37)),NOT(ISNUMBER('Monthly Inputs'!D38)),'Monthly Inputs'!D38=0),"",('Monthly Inputs'!D36+'Monthly Inputs'!D37)/'Monthly Inputs'!D38)</f>
        <v>8.8553191489361698</v>
      </c>
      <c r="E20" s="82">
        <f>IF(OR(NOT(ISNUMBER('Monthly Inputs'!E36)),NOT(ISNUMBER('Monthly Inputs'!E37)),NOT(ISNUMBER('Monthly Inputs'!E38)),'Monthly Inputs'!E38=0),"",('Monthly Inputs'!E36+'Monthly Inputs'!E37)/'Monthly Inputs'!E38)</f>
        <v>9.6355555555555554</v>
      </c>
      <c r="F20" s="82">
        <f>IF(OR(NOT(ISNUMBER('Monthly Inputs'!F36)),NOT(ISNUMBER('Monthly Inputs'!F37)),NOT(ISNUMBER('Monthly Inputs'!F38)),'Monthly Inputs'!F38=0),"",('Monthly Inputs'!F36+'Monthly Inputs'!F37)/'Monthly Inputs'!F38)</f>
        <v>9.5749999999999993</v>
      </c>
      <c r="G20" s="82">
        <f>IF(OR(NOT(ISNUMBER('Monthly Inputs'!G36)),NOT(ISNUMBER('Monthly Inputs'!G37)),NOT(ISNUMBER('Monthly Inputs'!G38)),'Monthly Inputs'!G38=0),"",('Monthly Inputs'!G36+'Monthly Inputs'!G37)/'Monthly Inputs'!G38)</f>
        <v>10.482608695652173</v>
      </c>
      <c r="H20" s="82">
        <f>IF(OR(NOT(ISNUMBER('Monthly Inputs'!H36)),NOT(ISNUMBER('Monthly Inputs'!H37)),NOT(ISNUMBER('Monthly Inputs'!H38)),'Monthly Inputs'!H38=0),"",('Monthly Inputs'!H36+'Monthly Inputs'!H37)/'Monthly Inputs'!H38)</f>
        <v>11.7</v>
      </c>
      <c r="I20" s="82">
        <f>IF(OR(NOT(ISNUMBER('Monthly Inputs'!I36)),NOT(ISNUMBER('Monthly Inputs'!I37)),NOT(ISNUMBER('Monthly Inputs'!I38)),'Monthly Inputs'!I38=0),"",('Monthly Inputs'!I36+'Monthly Inputs'!I37)/'Monthly Inputs'!I38)</f>
        <v>11.257777777777777</v>
      </c>
      <c r="J20" s="82">
        <f>IF(OR(NOT(ISNUMBER('Monthly Inputs'!J36)),NOT(ISNUMBER('Monthly Inputs'!J37)),NOT(ISNUMBER('Monthly Inputs'!J38)),'Monthly Inputs'!J38=0),"",('Monthly Inputs'!J36+'Monthly Inputs'!J37)/'Monthly Inputs'!J38)</f>
        <v>10.450980392156863</v>
      </c>
      <c r="K20" s="82">
        <f>IF(OR(NOT(ISNUMBER('Monthly Inputs'!K36)),NOT(ISNUMBER('Monthly Inputs'!K37)),NOT(ISNUMBER('Monthly Inputs'!K38)),'Monthly Inputs'!K38=0),"",('Monthly Inputs'!K36+'Monthly Inputs'!K37)/'Monthly Inputs'!K38)</f>
        <v>10.784905660377358</v>
      </c>
      <c r="L20" s="82">
        <f>IF(OR(NOT(ISNUMBER('Monthly Inputs'!L36)),NOT(ISNUMBER('Monthly Inputs'!L37)),NOT(ISNUMBER('Monthly Inputs'!L38)),'Monthly Inputs'!L38=0),"",('Monthly Inputs'!L36+'Monthly Inputs'!L37)/'Monthly Inputs'!L38)</f>
        <v>11.996</v>
      </c>
      <c r="M20" s="82">
        <f>IF(OR(NOT(ISNUMBER('Monthly Inputs'!M36)),NOT(ISNUMBER('Monthly Inputs'!M37)),NOT(ISNUMBER('Monthly Inputs'!M38)),'Monthly Inputs'!M38=0),"",('Monthly Inputs'!M36+'Monthly Inputs'!M37)/'Monthly Inputs'!M38)</f>
        <v>11.973076923076922</v>
      </c>
      <c r="N20" s="83">
        <f t="shared" si="1"/>
        <v>11.973076923076922</v>
      </c>
      <c r="O20" s="84">
        <f t="shared" si="2"/>
        <v>11.996</v>
      </c>
      <c r="P20" s="84">
        <f>IFERROR(AVERAGE($B20:$M20),"")</f>
        <v>10.344037883125621</v>
      </c>
      <c r="Q20" s="85">
        <f>IFERROR(IF(ISBLANK(INDEX('KPI Targets'!$D$11:$D$40,MATCH($A20,'KPI Targets'!$B$11:$B$40,0))),"",INDEX('KPI Targets'!$D$11:$D$40,MATCH($A20,'KPI Targets'!$B$11:$B$40,0))),"")</f>
        <v>1.5</v>
      </c>
      <c r="R20" s="68" t="str">
        <f>IFERROR(INDEX('KPI Targets'!$E$11:$E$40,MATCH($A20,'KPI Targets'!$B$11:$B$40,0)),"")</f>
        <v>Higher</v>
      </c>
      <c r="S20" s="69">
        <f t="shared" si="3"/>
        <v>2</v>
      </c>
      <c r="T20" s="70" t="str">
        <f t="shared" si="4"/>
        <v/>
      </c>
      <c r="U20" s="71" t="str">
        <f>IF($N20="","",TEXT($N20,"0.00"))</f>
        <v>11.97</v>
      </c>
      <c r="V20" s="71" t="str">
        <f>IF($Q20="","",TEXT($Q20,"0.00"))</f>
        <v>1.50</v>
      </c>
      <c r="W20" s="59" t="str">
        <f>'KPI Dashboard'!$O$25</f>
        <v>On Track</v>
      </c>
      <c r="X20" s="72">
        <f t="shared" si="5"/>
        <v>2.0000200000000001</v>
      </c>
      <c r="Y20" s="63">
        <f>IF(AND(ISNUMBER(INDEX('Monthly Inputs'!$B$36:$M$36,0,$B$4)),ISNUMBER(INDEX('Monthly Inputs'!$B$37:$M$37,0,$B$4)),ISNUMBER(INDEX('Monthly Inputs'!$B$38:$M$38,0,$B$4))),1,0)</f>
        <v>1</v>
      </c>
    </row>
    <row r="21" spans="1:25" ht="15.75" customHeight="1" x14ac:dyDescent="0.35">
      <c r="A21" s="36" t="s">
        <v>94</v>
      </c>
      <c r="B21" s="78">
        <f>IF(OR(NOT(ISNUMBER('Monthly Inputs'!B37)),COUNT('Monthly Inputs'!B10:B12)&lt;3,'Monthly Inputs'!B9=0),"",'Monthly Inputs'!B37/'Monthly Inputs'!B9*DaysInMonth)</f>
        <v>9.4173913043478255</v>
      </c>
      <c r="C21" s="78">
        <f>IF(OR(NOT(ISNUMBER('Monthly Inputs'!C37)),COUNT('Monthly Inputs'!C10:C12)&lt;3,'Monthly Inputs'!C9=0),"",'Monthly Inputs'!C37/'Monthly Inputs'!C9*DaysInMonth)</f>
        <v>9.5</v>
      </c>
      <c r="D21" s="78">
        <f>IF(OR(NOT(ISNUMBER('Monthly Inputs'!D37)),COUNT('Monthly Inputs'!D10:D12)&lt;3,'Monthly Inputs'!D9=0),"",'Monthly Inputs'!D37/'Monthly Inputs'!D9*DaysInMonth)</f>
        <v>9.5</v>
      </c>
      <c r="E21" s="78">
        <f>IF(OR(NOT(ISNUMBER('Monthly Inputs'!E37)),COUNT('Monthly Inputs'!E10:E12)&lt;3,'Monthly Inputs'!E9=0),"",'Monthly Inputs'!E37/'Monthly Inputs'!E9*DaysInMonth)</f>
        <v>9.5191919191919201</v>
      </c>
      <c r="F21" s="78">
        <f>IF(OR(NOT(ISNUMBER('Monthly Inputs'!F37)),COUNT('Monthly Inputs'!F10:F12)&lt;3,'Monthly Inputs'!F9=0),"",'Monthly Inputs'!F37/'Monthly Inputs'!F9*DaysInMonth)</f>
        <v>9.5703703703703695</v>
      </c>
      <c r="G21" s="78">
        <f>IF(OR(NOT(ISNUMBER('Monthly Inputs'!G37)),COUNT('Monthly Inputs'!G10:G12)&lt;3,'Monthly Inputs'!G9=0),"",'Monthly Inputs'!G37/'Monthly Inputs'!G9*DaysInMonth)</f>
        <v>9.5372549019607842</v>
      </c>
      <c r="H21" s="78">
        <f>IF(OR(NOT(ISNUMBER('Monthly Inputs'!H37)),COUNT('Monthly Inputs'!H10:H12)&lt;3,'Monthly Inputs'!H9=0),"",'Monthly Inputs'!H37/'Monthly Inputs'!H9*DaysInMonth)</f>
        <v>10.19090909090909</v>
      </c>
      <c r="I21" s="78">
        <f>IF(OR(NOT(ISNUMBER('Monthly Inputs'!I37)),COUNT('Monthly Inputs'!I10:I12)&lt;3,'Monthly Inputs'!I9=0),"",'Monthly Inputs'!I37/'Monthly Inputs'!I9*DaysInMonth)</f>
        <v>10.187234042553191</v>
      </c>
      <c r="J21" s="78">
        <f>IF(OR(NOT(ISNUMBER('Monthly Inputs'!J37)),COUNT('Monthly Inputs'!J10:J12)&lt;3,'Monthly Inputs'!J9=0),"",'Monthly Inputs'!J37/'Monthly Inputs'!J9*DaysInMonth)</f>
        <v>10.042857142857143</v>
      </c>
      <c r="K21" s="78">
        <f>IF(OR(NOT(ISNUMBER('Monthly Inputs'!K37)),COUNT('Monthly Inputs'!K10:K12)&lt;3,'Monthly Inputs'!K9=0),"",'Monthly Inputs'!K37/'Monthly Inputs'!K9*DaysInMonth)</f>
        <v>10.176271186440678</v>
      </c>
      <c r="L21" s="78">
        <f>IF(OR(NOT(ISNUMBER('Monthly Inputs'!L37)),COUNT('Monthly Inputs'!L10:L12)&lt;3,'Monthly Inputs'!L9=0),"",'Monthly Inputs'!L37/'Monthly Inputs'!L9*DaysInMonth)</f>
        <v>9.5655172413793093</v>
      </c>
      <c r="M21" s="78">
        <f>IF(OR(NOT(ISNUMBER('Monthly Inputs'!M37)),COUNT('Monthly Inputs'!M10:M12)&lt;3,'Monthly Inputs'!M9=0),"",'Monthly Inputs'!M37/'Monthly Inputs'!M9*DaysInMonth)</f>
        <v>10.737614678899082</v>
      </c>
      <c r="N21" s="79">
        <f t="shared" si="1"/>
        <v>10.737614678899082</v>
      </c>
      <c r="O21" s="80">
        <f t="shared" si="2"/>
        <v>9.5655172413793093</v>
      </c>
      <c r="P21" s="80">
        <f>IFERROR(AVERAGE($B21:$M21),"")</f>
        <v>9.8287176565757814</v>
      </c>
      <c r="Q21" s="81">
        <f>IFERROR(IF(ISBLANK(INDEX('KPI Targets'!$D$11:$D$40,MATCH($A21,'KPI Targets'!$B$11:$B$40,0))),"",INDEX('KPI Targets'!$D$11:$D$40,MATCH($A21,'KPI Targets'!$B$11:$B$40,0))),"")</f>
        <v>30</v>
      </c>
      <c r="R21" s="68" t="str">
        <f>IFERROR(INDEX('KPI Targets'!$E$11:$E$40,MATCH($A21,'KPI Targets'!$B$11:$B$40,0)),"")</f>
        <v>Lower</v>
      </c>
      <c r="S21" s="69">
        <f t="shared" si="3"/>
        <v>2</v>
      </c>
      <c r="T21" s="70" t="str">
        <f t="shared" si="4"/>
        <v/>
      </c>
      <c r="U21" s="71" t="str">
        <f>IF($N21="","",TEXT($N21,"0.0"))</f>
        <v>10.7</v>
      </c>
      <c r="V21" s="71" t="str">
        <f>IF($Q21="","",TEXT($Q21,"0.0"))</f>
        <v>30.0</v>
      </c>
      <c r="W21" s="59" t="str">
        <f>'KPI Dashboard'!$O$26</f>
        <v>On Track</v>
      </c>
      <c r="X21" s="72">
        <f t="shared" si="5"/>
        <v>2.0000209999999998</v>
      </c>
      <c r="Y21" s="63">
        <f>IF(AND(ISNUMBER(INDEX('Monthly Inputs'!$B$37:$M$37,0,$B$4)),COUNT(INDEX('Monthly Inputs'!$B$10:$M$12,0,$B$4))=3),1,0)</f>
        <v>1</v>
      </c>
    </row>
    <row r="22" spans="1:25" ht="14.25" customHeight="1" x14ac:dyDescent="0.35">
      <c r="S22" s="77"/>
      <c r="T22" s="77"/>
      <c r="U22" s="77"/>
      <c r="V22" s="77"/>
    </row>
    <row r="23" spans="1:25" ht="19.5" customHeight="1" x14ac:dyDescent="0.35">
      <c r="A23" s="11" t="s">
        <v>95</v>
      </c>
      <c r="B23" s="11"/>
      <c r="C23" s="11"/>
      <c r="D23" s="11"/>
      <c r="E23" s="11"/>
      <c r="F23" s="11"/>
      <c r="G23" s="11"/>
      <c r="H23" s="11"/>
      <c r="I23" s="11"/>
      <c r="J23" s="11"/>
      <c r="K23" s="11"/>
      <c r="L23" s="11"/>
      <c r="M23" s="11"/>
      <c r="N23" s="11"/>
      <c r="O23" s="11"/>
      <c r="P23" s="11"/>
      <c r="Q23" s="11"/>
      <c r="R23" s="11"/>
      <c r="S23" s="11"/>
      <c r="T23" s="11"/>
      <c r="U23" s="11"/>
      <c r="V23" s="11"/>
    </row>
    <row r="24" spans="1:25" ht="15.75" customHeight="1" x14ac:dyDescent="0.35">
      <c r="A24" s="36" t="s">
        <v>96</v>
      </c>
      <c r="B24" s="86">
        <f>IF(OR(COUNT('Monthly Inputs'!B10:B12)&lt;3,NOT(ISNUMBER('Monthly Inputs'!B27)),'Monthly Inputs'!B27=0),"",'Monthly Inputs'!B9/'Monthly Inputs'!B27)</f>
        <v>304.63576158940396</v>
      </c>
      <c r="C24" s="86">
        <f>IF(OR(COUNT('Monthly Inputs'!C10:C12)&lt;3,NOT(ISNUMBER('Monthly Inputs'!C27)),'Monthly Inputs'!C27=0),"",'Monthly Inputs'!C9/'Monthly Inputs'!C27)</f>
        <v>316.83168316831683</v>
      </c>
      <c r="D24" s="86">
        <f>IF(OR(COUNT('Monthly Inputs'!D10:D12)&lt;3,NOT(ISNUMBER('Monthly Inputs'!D27)),'Monthly Inputs'!D27=0),"",'Monthly Inputs'!D9/'Monthly Inputs'!D27)</f>
        <v>316.10942249240122</v>
      </c>
      <c r="E24" s="86">
        <f>IF(OR(COUNT('Monthly Inputs'!E10:E12)&lt;3,NOT(ISNUMBER('Monthly Inputs'!E27)),'Monthly Inputs'!E27=0),"",'Monthly Inputs'!E9/'Monthly Inputs'!E27)</f>
        <v>310.34482758620692</v>
      </c>
      <c r="F24" s="86">
        <f>IF(OR(COUNT('Monthly Inputs'!F10:F12)&lt;3,NOT(ISNUMBER('Monthly Inputs'!F27)),'Monthly Inputs'!F27=0),"",'Monthly Inputs'!F9/'Monthly Inputs'!F27)</f>
        <v>318.5840707964602</v>
      </c>
      <c r="G24" s="86">
        <f>IF(OR(COUNT('Monthly Inputs'!G10:G12)&lt;3,NOT(ISNUMBER('Monthly Inputs'!G27)),'Monthly Inputs'!G27=0),"",'Monthly Inputs'!G9/'Monthly Inputs'!G27)</f>
        <v>318.75</v>
      </c>
      <c r="H24" s="86">
        <f>IF(OR(COUNT('Monthly Inputs'!H10:H12)&lt;3,NOT(ISNUMBER('Monthly Inputs'!H27)),'Monthly Inputs'!H27=0),"",'Monthly Inputs'!H9/'Monthly Inputs'!H27)</f>
        <v>308.77192982456143</v>
      </c>
      <c r="I24" s="86">
        <f>IF(OR(COUNT('Monthly Inputs'!I10:I12)&lt;3,NOT(ISNUMBER('Monthly Inputs'!I27)),'Monthly Inputs'!I27=0),"",'Monthly Inputs'!I9/'Monthly Inputs'!I27)</f>
        <v>305.19480519480521</v>
      </c>
      <c r="J24" s="86">
        <f>IF(OR(COUNT('Monthly Inputs'!J10:J12)&lt;3,NOT(ISNUMBER('Monthly Inputs'!J27)),'Monthly Inputs'!J27=0),"",'Monthly Inputs'!J9/'Monthly Inputs'!J27)</f>
        <v>320</v>
      </c>
      <c r="K24" s="86">
        <f>IF(OR(COUNT('Monthly Inputs'!K10:K12)&lt;3,NOT(ISNUMBER('Monthly Inputs'!K27)),'Monthly Inputs'!K27=0),"",'Monthly Inputs'!K9/'Monthly Inputs'!K27)</f>
        <v>326.86980609418282</v>
      </c>
      <c r="L24" s="86">
        <f>IF(OR(COUNT('Monthly Inputs'!L10:L12)&lt;3,NOT(ISNUMBER('Monthly Inputs'!L27)),'Monthly Inputs'!L27=0),"",'Monthly Inputs'!L9/'Monthly Inputs'!L27)</f>
        <v>302.08333333333331</v>
      </c>
      <c r="M24" s="86">
        <f>IF(OR(COUNT('Monthly Inputs'!M10:M12)&lt;3,NOT(ISNUMBER('Monthly Inputs'!M27)),'Monthly Inputs'!M27=0),"",'Monthly Inputs'!M9/'Monthly Inputs'!M27)</f>
        <v>363.33333333333331</v>
      </c>
      <c r="N24" s="87">
        <f>IFERROR(INDEX($B24:$M24,$B$4),"")</f>
        <v>363.33333333333331</v>
      </c>
      <c r="O24" s="88">
        <f>IF($B$4&lt;=1,"",IFERROR(INDEX($B24:$M24,$B$4-1),""))</f>
        <v>302.08333333333331</v>
      </c>
      <c r="P24" s="88">
        <f>IFERROR(AVERAGE($B24:$M24),"")</f>
        <v>317.62574778441711</v>
      </c>
      <c r="Q24" s="89" t="str">
        <f>IFERROR(IF(ISBLANK(INDEX('KPI Targets'!$D$11:$D$40,MATCH($A24,'KPI Targets'!$B$11:$B$40,0))),"",INDEX('KPI Targets'!$D$11:$D$40,MATCH($A24,'KPI Targets'!$B$11:$B$40,0))),"")</f>
        <v/>
      </c>
      <c r="R24" s="68" t="str">
        <f>IFERROR(INDEX('KPI Targets'!$E$11:$E$40,MATCH($A24,'KPI Targets'!$B$11:$B$40,0)),"")</f>
        <v>Higher</v>
      </c>
      <c r="S24" s="69" t="str">
        <f>IF(OR($N24="",$Q24="",$Q24=0,AND($R24&lt;&gt;"Higher",$R24&lt;&gt;"Lower")),"",IFERROR(MIN(2,IF($R24="Lower",$Q24/$N24,$N24/$Q24)),""))</f>
        <v/>
      </c>
      <c r="T24" s="70" t="str">
        <f>IF($W24="Action",IF($S24="",1,$S24)+ROW()/1000000,IF($W24="Watch",10+IF($S24="",1,$S24)+ROW()/1000000,""))</f>
        <v/>
      </c>
      <c r="U24" s="71" t="str">
        <f>IF($N24="","",TEXT($N24,"$#,##0.00"))</f>
        <v>$363.33</v>
      </c>
      <c r="V24" s="71" t="str">
        <f>IF($Q24="","",TEXT($Q24,"$#,##0.00"))</f>
        <v/>
      </c>
      <c r="W24" s="59" t="str">
        <f>'KPI Dashboard'!$O$29</f>
        <v>Set target</v>
      </c>
      <c r="X24" s="72" t="str">
        <f>IF($W24&lt;&gt;"On Track","",IF($S24="",1,$S24)+ROW()/1000000)</f>
        <v/>
      </c>
      <c r="Y24" s="63">
        <f>IF(AND(COUNT(INDEX('Monthly Inputs'!$B$10:$M$12,0,$B$4))=3,ISNUMBER(INDEX('Monthly Inputs'!$B$27:$M$27,0,$B$4))),1,0)</f>
        <v>1</v>
      </c>
    </row>
    <row r="25" spans="1:25" ht="15.75" customHeight="1" x14ac:dyDescent="0.35">
      <c r="A25" s="36" t="s">
        <v>97</v>
      </c>
      <c r="B25" s="86">
        <f>IF(OR(COUNT('Monthly Inputs'!B10:B12)&lt;3,NOT(ISNUMBER('Monthly Inputs'!B29)),'Monthly Inputs'!B29=0),"",'Monthly Inputs'!B9/'Monthly Inputs'!B29)</f>
        <v>96.84210526315789</v>
      </c>
      <c r="C25" s="86">
        <f>IF(OR(COUNT('Monthly Inputs'!C10:C12)&lt;3,NOT(ISNUMBER('Monthly Inputs'!C29)),'Monthly Inputs'!C29=0),"",'Monthly Inputs'!C9/'Monthly Inputs'!C29)</f>
        <v>98.969072164948457</v>
      </c>
      <c r="D25" s="86">
        <f>IF(OR(COUNT('Monthly Inputs'!D10:D12)&lt;3,NOT(ISNUMBER('Monthly Inputs'!D29)),'Monthly Inputs'!D29=0),"",'Monthly Inputs'!D9/'Monthly Inputs'!D29)</f>
        <v>95.852534562211986</v>
      </c>
      <c r="E25" s="86">
        <f>IF(OR(COUNT('Monthly Inputs'!E10:E12)&lt;3,NOT(ISNUMBER('Monthly Inputs'!E29)),'Monthly Inputs'!E29=0),"",'Monthly Inputs'!E9/'Monthly Inputs'!E29)</f>
        <v>100</v>
      </c>
      <c r="F25" s="86">
        <f>IF(OR(COUNT('Monthly Inputs'!F10:F12)&lt;3,NOT(ISNUMBER('Monthly Inputs'!F29)),'Monthly Inputs'!F29=0),"",'Monthly Inputs'!F9/'Monthly Inputs'!F29)</f>
        <v>95.154185022026425</v>
      </c>
      <c r="G25" s="86">
        <f>IF(OR(COUNT('Monthly Inputs'!G10:G12)&lt;3,NOT(ISNUMBER('Monthly Inputs'!G29)),'Monthly Inputs'!G29=0),"",'Monthly Inputs'!G9/'Monthly Inputs'!G29)</f>
        <v>98.07692307692308</v>
      </c>
      <c r="H25" s="86">
        <f>IF(OR(COUNT('Monthly Inputs'!H10:H12)&lt;3,NOT(ISNUMBER('Monthly Inputs'!H29)),'Monthly Inputs'!H29=0),"",'Monthly Inputs'!H9/'Monthly Inputs'!H29)</f>
        <v>101.14942528735632</v>
      </c>
      <c r="I25" s="86">
        <f>IF(OR(COUNT('Monthly Inputs'!I10:I12)&lt;3,NOT(ISNUMBER('Monthly Inputs'!I29)),'Monthly Inputs'!I29=0),"",'Monthly Inputs'!I9/'Monthly Inputs'!I29)</f>
        <v>96.907216494845358</v>
      </c>
      <c r="J25" s="86">
        <f>IF(OR(COUNT('Monthly Inputs'!J10:J12)&lt;3,NOT(ISNUMBER('Monthly Inputs'!J29)),'Monthly Inputs'!J29=0),"",'Monthly Inputs'!J9/'Monthly Inputs'!J29)</f>
        <v>94.117647058823536</v>
      </c>
      <c r="K25" s="86">
        <f>IF(OR(COUNT('Monthly Inputs'!K10:K12)&lt;3,NOT(ISNUMBER('Monthly Inputs'!K29)),'Monthly Inputs'!K29=0),"",'Monthly Inputs'!K9/'Monthly Inputs'!K29)</f>
        <v>99.159663865546221</v>
      </c>
      <c r="L25" s="86">
        <f>IF(OR(COUNT('Monthly Inputs'!L10:L12)&lt;3,NOT(ISNUMBER('Monthly Inputs'!L29)),'Monthly Inputs'!L29=0),"",'Monthly Inputs'!L9/'Monthly Inputs'!L29)</f>
        <v>95.867768595041326</v>
      </c>
      <c r="M25" s="86">
        <f>IF(OR(COUNT('Monthly Inputs'!M10:M12)&lt;3,NOT(ISNUMBER('Monthly Inputs'!M29)),'Monthly Inputs'!M29=0),"",'Monthly Inputs'!M9/'Monthly Inputs'!M29)</f>
        <v>98.198198198198199</v>
      </c>
      <c r="N25" s="87">
        <f>IFERROR(INDEX($B25:$M25,$B$4),"")</f>
        <v>98.198198198198199</v>
      </c>
      <c r="O25" s="88">
        <f>IF($B$4&lt;=1,"",IFERROR(INDEX($B25:$M25,$B$4-1),""))</f>
        <v>95.867768595041326</v>
      </c>
      <c r="P25" s="88">
        <f>IFERROR(AVERAGE($B25:$M25),"")</f>
        <v>97.524561632423229</v>
      </c>
      <c r="Q25" s="89">
        <f>IFERROR(IF(ISBLANK(INDEX('KPI Targets'!$D$11:$D$40,MATCH($A25,'KPI Targets'!$B$11:$B$40,0))),"",INDEX('KPI Targets'!$D$11:$D$40,MATCH($A25,'KPI Targets'!$B$11:$B$40,0))),"")</f>
        <v>90</v>
      </c>
      <c r="R25" s="68" t="str">
        <f>IFERROR(INDEX('KPI Targets'!$E$11:$E$40,MATCH($A25,'KPI Targets'!$B$11:$B$40,0)),"")</f>
        <v>Higher</v>
      </c>
      <c r="S25" s="69">
        <f>IF(OR($N25="",$Q25="",$Q25=0,AND($R25&lt;&gt;"Higher",$R25&lt;&gt;"Lower")),"",IFERROR(MIN(2,IF($R25="Lower",$Q25/$N25,$N25/$Q25)),""))</f>
        <v>1.0910910910910911</v>
      </c>
      <c r="T25" s="70" t="str">
        <f>IF($W25="Action",IF($S25="",1,$S25)+ROW()/1000000,IF($W25="Watch",10+IF($S25="",1,$S25)+ROW()/1000000,""))</f>
        <v/>
      </c>
      <c r="U25" s="71" t="str">
        <f>IF($N25="","",TEXT($N25,"$#,##0.00"))</f>
        <v>$98.20</v>
      </c>
      <c r="V25" s="71" t="str">
        <f>IF($Q25="","",TEXT($Q25,"$#,##0.00"))</f>
        <v>$90.00</v>
      </c>
      <c r="W25" s="59" t="str">
        <f>'KPI Dashboard'!$O$30</f>
        <v>On Track</v>
      </c>
      <c r="X25" s="72">
        <f>IF($W25&lt;&gt;"On Track","",IF($S25="",1,$S25)+ROW()/1000000)</f>
        <v>1.0911160910910911</v>
      </c>
      <c r="Y25" s="63">
        <f>IF(AND(COUNT(INDEX('Monthly Inputs'!$B$10:$M$12,0,$B$4))=3,ISNUMBER(INDEX('Monthly Inputs'!$B$29:$M$29,0,$B$4))),1,0)</f>
        <v>1</v>
      </c>
    </row>
    <row r="26" spans="1:25" ht="15.75" customHeight="1" x14ac:dyDescent="0.35">
      <c r="A26" s="36" t="s">
        <v>98</v>
      </c>
      <c r="B26" s="86">
        <f>IF(OR(COUNT('Monthly Inputs'!B10:B12)&lt;3,NOT(ISNUMBER('Monthly Inputs'!B32)),'Monthly Inputs'!B32=0),"",'Monthly Inputs'!B9/'Monthly Inputs'!B32)</f>
        <v>121.05263157894737</v>
      </c>
      <c r="C26" s="86">
        <f>IF(OR(COUNT('Monthly Inputs'!C10:C12)&lt;3,NOT(ISNUMBER('Monthly Inputs'!C32)),'Monthly Inputs'!C32=0),"",'Monthly Inputs'!C9/'Monthly Inputs'!C32)</f>
        <v>123.87096774193549</v>
      </c>
      <c r="D26" s="86">
        <f>IF(OR(COUNT('Monthly Inputs'!D10:D12)&lt;3,NOT(ISNUMBER('Monthly Inputs'!D32)),'Monthly Inputs'!D32=0),"",'Monthly Inputs'!D9/'Monthly Inputs'!D32)</f>
        <v>126.82926829268293</v>
      </c>
      <c r="E26" s="86">
        <f>IF(OR(COUNT('Monthly Inputs'!E10:E12)&lt;3,NOT(ISNUMBER('Monthly Inputs'!E32)),'Monthly Inputs'!E32=0),"",'Monthly Inputs'!E9/'Monthly Inputs'!E32)</f>
        <v>122.98136645962732</v>
      </c>
      <c r="F26" s="86">
        <f>IF(OR(COUNT('Monthly Inputs'!F10:F12)&lt;3,NOT(ISNUMBER('Monthly Inputs'!F32)),'Monthly Inputs'!F32=0),"",'Monthly Inputs'!F9/'Monthly Inputs'!F32)</f>
        <v>127.81065088757397</v>
      </c>
      <c r="G26" s="86">
        <f>IF(OR(COUNT('Monthly Inputs'!G10:G12)&lt;3,NOT(ISNUMBER('Monthly Inputs'!G32)),'Monthly Inputs'!G32=0),"",'Monthly Inputs'!G9/'Monthly Inputs'!G32)</f>
        <v>125.15337423312883</v>
      </c>
      <c r="H26" s="86">
        <f>IF(OR(COUNT('Monthly Inputs'!H10:H12)&lt;3,NOT(ISNUMBER('Monthly Inputs'!H32)),'Monthly Inputs'!H32=0),"",'Monthly Inputs'!H9/'Monthly Inputs'!H32)</f>
        <v>118.12080536912751</v>
      </c>
      <c r="I26" s="86">
        <f>IF(OR(COUNT('Monthly Inputs'!I10:I12)&lt;3,NOT(ISNUMBER('Monthly Inputs'!I32)),'Monthly Inputs'!I32=0),"",'Monthly Inputs'!I9/'Monthly Inputs'!I32)</f>
        <v>122.07792207792208</v>
      </c>
      <c r="J26" s="86">
        <f>IF(OR(COUNT('Monthly Inputs'!J10:J12)&lt;3,NOT(ISNUMBER('Monthly Inputs'!J32)),'Monthly Inputs'!J32=0),"",'Monthly Inputs'!J9/'Monthly Inputs'!J32)</f>
        <v>130.23255813953489</v>
      </c>
      <c r="K26" s="86">
        <f>IF(OR(COUNT('Monthly Inputs'!K10:K12)&lt;3,NOT(ISNUMBER('Monthly Inputs'!K32)),'Monthly Inputs'!K32=0),"",'Monthly Inputs'!K9/'Monthly Inputs'!K32)</f>
        <v>131.84357541899442</v>
      </c>
      <c r="L26" s="86">
        <f>IF(OR(COUNT('Monthly Inputs'!L10:L12)&lt;3,NOT(ISNUMBER('Monthly Inputs'!L32)),'Monthly Inputs'!L32=0),"",'Monthly Inputs'!L9/'Monthly Inputs'!L32)</f>
        <v>126.77595628415301</v>
      </c>
      <c r="M26" s="86">
        <f>IF(OR(COUNT('Monthly Inputs'!M10:M12)&lt;3,NOT(ISNUMBER('Monthly Inputs'!M32)),'Monthly Inputs'!M32=0),"",'Monthly Inputs'!M9/'Monthly Inputs'!M32)</f>
        <v>128.9940828402367</v>
      </c>
      <c r="N26" s="87">
        <f>IFERROR(INDEX($B26:$M26,$B$4),"")</f>
        <v>128.9940828402367</v>
      </c>
      <c r="O26" s="88">
        <f>IF($B$4&lt;=1,"",IFERROR(INDEX($B26:$M26,$B$4-1),""))</f>
        <v>126.77595628415301</v>
      </c>
      <c r="P26" s="88">
        <f>IFERROR(AVERAGE($B26:$M26),"")</f>
        <v>125.47859661032204</v>
      </c>
      <c r="Q26" s="89">
        <f>IFERROR(IF(ISBLANK(INDEX('KPI Targets'!$D$11:$D$40,MATCH($A26,'KPI Targets'!$B$11:$B$40,0))),"",INDEX('KPI Targets'!$D$11:$D$40,MATCH($A26,'KPI Targets'!$B$11:$B$40,0))),"")</f>
        <v>110</v>
      </c>
      <c r="R26" s="68" t="str">
        <f>IFERROR(INDEX('KPI Targets'!$E$11:$E$40,MATCH($A26,'KPI Targets'!$B$11:$B$40,0)),"")</f>
        <v>Higher</v>
      </c>
      <c r="S26" s="69">
        <f>IF(OR($N26="",$Q26="",$Q26=0,AND($R26&lt;&gt;"Higher",$R26&lt;&gt;"Lower")),"",IFERROR(MIN(2,IF($R26="Lower",$Q26/$N26,$N26/$Q26)),""))</f>
        <v>1.1726734803657881</v>
      </c>
      <c r="T26" s="70" t="str">
        <f>IF($W26="Action",IF($S26="",1,$S26)+ROW()/1000000,IF($W26="Watch",10+IF($S26="",1,$S26)+ROW()/1000000,""))</f>
        <v/>
      </c>
      <c r="U26" s="71" t="str">
        <f>IF($N26="","",TEXT($N26,"$#,##0.00"))</f>
        <v>$128.99</v>
      </c>
      <c r="V26" s="71" t="str">
        <f>IF($Q26="","",TEXT($Q26,"$#,##0.00"))</f>
        <v>$110.00</v>
      </c>
      <c r="W26" s="59" t="str">
        <f>'KPI Dashboard'!$O$31</f>
        <v>On Track</v>
      </c>
      <c r="X26" s="72">
        <f>IF($W26&lt;&gt;"On Track","",IF($S26="",1,$S26)+ROW()/1000000)</f>
        <v>1.1726994803657882</v>
      </c>
      <c r="Y26" s="63">
        <f>IF(AND(COUNT(INDEX('Monthly Inputs'!$B$10:$M$12,0,$B$4))=3,ISNUMBER(INDEX('Monthly Inputs'!$B$32:$M$32,0,$B$4))),1,0)</f>
        <v>1</v>
      </c>
    </row>
    <row r="27" spans="1:25" ht="15.75" customHeight="1" x14ac:dyDescent="0.35">
      <c r="A27" s="36" t="s">
        <v>99</v>
      </c>
      <c r="B27" s="82">
        <f>IF(OR(NOT(ISNUMBER('Monthly Inputs'!B29)),NOT(ISNUMBER('Monthly Inputs'!B27)),'Monthly Inputs'!B27=0),"",'Monthly Inputs'!B29/'Monthly Inputs'!B27)</f>
        <v>3.1456953642384105</v>
      </c>
      <c r="C27" s="82">
        <f>IF(OR(NOT(ISNUMBER('Monthly Inputs'!C29)),NOT(ISNUMBER('Monthly Inputs'!C27)),'Monthly Inputs'!C27=0),"",'Monthly Inputs'!C29/'Monthly Inputs'!C27)</f>
        <v>3.2013201320132012</v>
      </c>
      <c r="D27" s="82">
        <f>IF(OR(NOT(ISNUMBER('Monthly Inputs'!D29)),NOT(ISNUMBER('Monthly Inputs'!D27)),'Monthly Inputs'!D27=0),"",'Monthly Inputs'!D29/'Monthly Inputs'!D27)</f>
        <v>3.2978723404255321</v>
      </c>
      <c r="E27" s="82">
        <f>IF(OR(NOT(ISNUMBER('Monthly Inputs'!E29)),NOT(ISNUMBER('Monthly Inputs'!E27)),'Monthly Inputs'!E27=0),"",'Monthly Inputs'!E29/'Monthly Inputs'!E27)</f>
        <v>3.103448275862069</v>
      </c>
      <c r="F27" s="82">
        <f>IF(OR(NOT(ISNUMBER('Monthly Inputs'!F29)),NOT(ISNUMBER('Monthly Inputs'!F27)),'Monthly Inputs'!F27=0),"",'Monthly Inputs'!F29/'Monthly Inputs'!F27)</f>
        <v>3.3480825958702063</v>
      </c>
      <c r="G27" s="82">
        <f>IF(OR(NOT(ISNUMBER('Monthly Inputs'!G29)),NOT(ISNUMBER('Monthly Inputs'!G27)),'Monthly Inputs'!G27=0),"",'Monthly Inputs'!G29/'Monthly Inputs'!G27)</f>
        <v>3.25</v>
      </c>
      <c r="H27" s="82">
        <f>IF(OR(NOT(ISNUMBER('Monthly Inputs'!H29)),NOT(ISNUMBER('Monthly Inputs'!H27)),'Monthly Inputs'!H27=0),"",'Monthly Inputs'!H29/'Monthly Inputs'!H27)</f>
        <v>3.0526315789473686</v>
      </c>
      <c r="I27" s="82">
        <f>IF(OR(NOT(ISNUMBER('Monthly Inputs'!I29)),NOT(ISNUMBER('Monthly Inputs'!I27)),'Monthly Inputs'!I27=0),"",'Monthly Inputs'!I29/'Monthly Inputs'!I27)</f>
        <v>3.1493506493506493</v>
      </c>
      <c r="J27" s="82">
        <f>IF(OR(NOT(ISNUMBER('Monthly Inputs'!J29)),NOT(ISNUMBER('Monthly Inputs'!J27)),'Monthly Inputs'!J27=0),"",'Monthly Inputs'!J29/'Monthly Inputs'!J27)</f>
        <v>3.4</v>
      </c>
      <c r="K27" s="82">
        <f>IF(OR(NOT(ISNUMBER('Monthly Inputs'!K29)),NOT(ISNUMBER('Monthly Inputs'!K27)),'Monthly Inputs'!K27=0),"",'Monthly Inputs'!K29/'Monthly Inputs'!K27)</f>
        <v>3.2963988919667591</v>
      </c>
      <c r="L27" s="82">
        <f>IF(OR(NOT(ISNUMBER('Monthly Inputs'!L29)),NOT(ISNUMBER('Monthly Inputs'!L27)),'Monthly Inputs'!L27=0),"",'Monthly Inputs'!L29/'Monthly Inputs'!L27)</f>
        <v>3.1510416666666665</v>
      </c>
      <c r="M27" s="82">
        <f>IF(OR(NOT(ISNUMBER('Monthly Inputs'!M29)),NOT(ISNUMBER('Monthly Inputs'!M27)),'Monthly Inputs'!M27=0),"",'Monthly Inputs'!M29/'Monthly Inputs'!M27)</f>
        <v>3.7</v>
      </c>
      <c r="N27" s="83">
        <f>IFERROR(INDEX($B27:$M27,$B$4),"")</f>
        <v>3.7</v>
      </c>
      <c r="O27" s="84">
        <f>IF($B$4&lt;=1,"",IFERROR(INDEX($B27:$M27,$B$4-1),""))</f>
        <v>3.1510416666666665</v>
      </c>
      <c r="P27" s="84">
        <f>IFERROR(AVERAGE($B27:$M27),"")</f>
        <v>3.2579867912784048</v>
      </c>
      <c r="Q27" s="85" t="str">
        <f>IFERROR(IF(ISBLANK(INDEX('KPI Targets'!$D$11:$D$40,MATCH($A27,'KPI Targets'!$B$11:$B$40,0))),"",INDEX('KPI Targets'!$D$11:$D$40,MATCH($A27,'KPI Targets'!$B$11:$B$40,0))),"")</f>
        <v/>
      </c>
      <c r="R27" s="68" t="str">
        <f>IFERROR(INDEX('KPI Targets'!$E$11:$E$40,MATCH($A27,'KPI Targets'!$B$11:$B$40,0)),"")</f>
        <v>Context</v>
      </c>
      <c r="S27" s="69" t="str">
        <f>IF(OR($N27="",$Q27="",$Q27=0,AND($R27&lt;&gt;"Higher",$R27&lt;&gt;"Lower")),"",IFERROR(MIN(2,IF($R27="Lower",$Q27/$N27,$N27/$Q27)),""))</f>
        <v/>
      </c>
      <c r="T27" s="70" t="str">
        <f>IF($W27="Action",IF($S27="",1,$S27)+ROW()/1000000,IF($W27="Watch",10+IF($S27="",1,$S27)+ROW()/1000000,""))</f>
        <v/>
      </c>
      <c r="U27" s="71" t="str">
        <f>IF($N27="","",TEXT($N27,"0.00"))</f>
        <v>3.70</v>
      </c>
      <c r="V27" s="71" t="str">
        <f>IF($Q27="","",TEXT($Q27,"0.00"))</f>
        <v/>
      </c>
      <c r="W27" s="59" t="str">
        <f>'KPI Dashboard'!$O$32</f>
        <v>Monitor</v>
      </c>
      <c r="X27" s="72" t="str">
        <f>IF($W27&lt;&gt;"On Track","",IF($S27="",1,$S27)+ROW()/1000000)</f>
        <v/>
      </c>
      <c r="Y27" s="63">
        <f>IF(AND(ISNUMBER(INDEX('Monthly Inputs'!$B$29:$M$29,0,$B$4)),ISNUMBER(INDEX('Monthly Inputs'!$B$27:$M$27,0,$B$4))),1,0)</f>
        <v>1</v>
      </c>
    </row>
    <row r="28" spans="1:25" ht="15.75" customHeight="1" x14ac:dyDescent="0.35">
      <c r="A28" s="36" t="s">
        <v>100</v>
      </c>
      <c r="B28" s="73">
        <f>IF(OR(NOT(ISNUMBER('Monthly Inputs'!B31)),NOT(ISNUMBER('Monthly Inputs'!B30)),'Monthly Inputs'!B30=0),"",'Monthly Inputs'!B31/'Monthly Inputs'!B30)</f>
        <v>0.81557377049180324</v>
      </c>
      <c r="C28" s="73">
        <f>IF(OR(NOT(ISNUMBER('Monthly Inputs'!C31)),NOT(ISNUMBER('Monthly Inputs'!C30)),'Monthly Inputs'!C30=0),"",'Monthly Inputs'!C31/'Monthly Inputs'!C30)</f>
        <v>0.82857142857142863</v>
      </c>
      <c r="D28" s="73">
        <f>IF(OR(NOT(ISNUMBER('Monthly Inputs'!D31)),NOT(ISNUMBER('Monthly Inputs'!D30)),'Monthly Inputs'!D30=0),"",'Monthly Inputs'!D31/'Monthly Inputs'!D30)</f>
        <v>0.85660377358490569</v>
      </c>
      <c r="E28" s="73">
        <f>IF(OR(NOT(ISNUMBER('Monthly Inputs'!E31)),NOT(ISNUMBER('Monthly Inputs'!E30)),'Monthly Inputs'!E30=0),"",'Monthly Inputs'!E31/'Monthly Inputs'!E30)</f>
        <v>0.8214285714285714</v>
      </c>
      <c r="F28" s="73">
        <f>IF(OR(NOT(ISNUMBER('Monthly Inputs'!F31)),NOT(ISNUMBER('Monthly Inputs'!F30)),'Monthly Inputs'!F30=0),"",'Monthly Inputs'!F31/'Monthly Inputs'!F30)</f>
        <v>0.86496350364963503</v>
      </c>
      <c r="G28" s="73">
        <f>IF(OR(NOT(ISNUMBER('Monthly Inputs'!G31)),NOT(ISNUMBER('Monthly Inputs'!G30)),'Monthly Inputs'!G30=0),"",'Monthly Inputs'!G31/'Monthly Inputs'!G30)</f>
        <v>0.84108527131782951</v>
      </c>
      <c r="H28" s="73">
        <f>IF(OR(NOT(ISNUMBER('Monthly Inputs'!H31)),NOT(ISNUMBER('Monthly Inputs'!H30)),'Monthly Inputs'!H30=0),"",'Monthly Inputs'!H31/'Monthly Inputs'!H30)</f>
        <v>0.77446808510638299</v>
      </c>
      <c r="I28" s="73">
        <f>IF(OR(NOT(ISNUMBER('Monthly Inputs'!I31)),NOT(ISNUMBER('Monthly Inputs'!I30)),'Monthly Inputs'!I30=0),"",'Monthly Inputs'!I31/'Monthly Inputs'!I30)</f>
        <v>0.80555555555555558</v>
      </c>
      <c r="J28" s="73">
        <f>IF(OR(NOT(ISNUMBER('Monthly Inputs'!J31)),NOT(ISNUMBER('Monthly Inputs'!J30)),'Monthly Inputs'!J30=0),"",'Monthly Inputs'!J31/'Monthly Inputs'!J30)</f>
        <v>0.87368421052631584</v>
      </c>
      <c r="K28" s="73">
        <f>IF(OR(NOT(ISNUMBER('Monthly Inputs'!K31)),NOT(ISNUMBER('Monthly Inputs'!K30)),'Monthly Inputs'!K30=0),"",'Monthly Inputs'!K31/'Monthly Inputs'!K30)</f>
        <v>0.85862068965517246</v>
      </c>
      <c r="L28" s="73">
        <f>IF(OR(NOT(ISNUMBER('Monthly Inputs'!L31)),NOT(ISNUMBER('Monthly Inputs'!L30)),'Monthly Inputs'!L30=0),"",'Monthly Inputs'!L31/'Monthly Inputs'!L30)</f>
        <v>0.8108974358974359</v>
      </c>
      <c r="M28" s="73">
        <f>IF(OR(NOT(ISNUMBER('Monthly Inputs'!M31)),NOT(ISNUMBER('Monthly Inputs'!M30)),'Monthly Inputs'!M30=0),"",'Monthly Inputs'!M31/'Monthly Inputs'!M30)</f>
        <v>0.77852348993288589</v>
      </c>
      <c r="N28" s="74">
        <f>IFERROR(INDEX($B28:$M28,$B$4),"")</f>
        <v>0.77852348993288589</v>
      </c>
      <c r="O28" s="75">
        <f>IF($B$4&lt;=1,"",IFERROR(INDEX($B28:$M28,$B$4-1),""))</f>
        <v>0.8108974358974359</v>
      </c>
      <c r="P28" s="75">
        <f>IFERROR(AVERAGE($B28:$M28),"")</f>
        <v>0.82749798214316017</v>
      </c>
      <c r="Q28" s="76" t="str">
        <f>IFERROR(IF(ISBLANK(INDEX('KPI Targets'!$D$11:$D$40,MATCH($A28,'KPI Targets'!$B$11:$B$40,0))),"",INDEX('KPI Targets'!$D$11:$D$40,MATCH($A28,'KPI Targets'!$B$11:$B$40,0))),"")</f>
        <v/>
      </c>
      <c r="R28" s="68" t="str">
        <f>IFERROR(INDEX('KPI Targets'!$E$11:$E$40,MATCH($A28,'KPI Targets'!$B$11:$B$40,0)),"")</f>
        <v>Context</v>
      </c>
      <c r="S28" s="69" t="str">
        <f>IF(OR($N28="",$Q28="",$Q28=0,AND($R28&lt;&gt;"Higher",$R28&lt;&gt;"Lower")),"",IFERROR(MIN(2,IF($R28="Lower",$Q28/$N28,$N28/$Q28)),""))</f>
        <v/>
      </c>
      <c r="T28" s="70" t="str">
        <f>IF($W28="Action",IF($S28="",1,$S28)+ROW()/1000000,IF($W28="Watch",10+IF($S28="",1,$S28)+ROW()/1000000,""))</f>
        <v/>
      </c>
      <c r="U28" s="71" t="str">
        <f>IF($N28="","",TEXT($N28,"0.0%"))</f>
        <v>77.9%</v>
      </c>
      <c r="V28" s="71" t="str">
        <f>IF($Q28="","",TEXT($Q28,"0.0%"))</f>
        <v/>
      </c>
      <c r="W28" s="59" t="str">
        <f>'KPI Dashboard'!$O$33</f>
        <v>Monitor</v>
      </c>
      <c r="X28" s="72" t="str">
        <f>IF($W28&lt;&gt;"On Track","",IF($S28="",1,$S28)+ROW()/1000000)</f>
        <v/>
      </c>
      <c r="Y28" s="63">
        <f>IF(AND(ISNUMBER(INDEX('Monthly Inputs'!$B$31:$M$31,0,$B$4)),ISNUMBER(INDEX('Monthly Inputs'!$B$30:$M$30,0,$B$4))),1,0)</f>
        <v>1</v>
      </c>
    </row>
    <row r="29" spans="1:25" ht="14.25" customHeight="1" x14ac:dyDescent="0.35">
      <c r="S29" s="77"/>
      <c r="T29" s="77"/>
      <c r="U29" s="77"/>
      <c r="V29" s="77"/>
    </row>
    <row r="30" spans="1:25" ht="19.5" customHeight="1" x14ac:dyDescent="0.35">
      <c r="A30" s="11" t="s">
        <v>101</v>
      </c>
      <c r="B30" s="11"/>
      <c r="C30" s="11"/>
      <c r="D30" s="11"/>
      <c r="E30" s="11"/>
      <c r="F30" s="11"/>
      <c r="G30" s="11"/>
      <c r="H30" s="11"/>
      <c r="I30" s="11"/>
      <c r="J30" s="11"/>
      <c r="K30" s="11"/>
      <c r="L30" s="11"/>
      <c r="M30" s="11"/>
      <c r="N30" s="11"/>
      <c r="O30" s="11"/>
      <c r="P30" s="11"/>
      <c r="Q30" s="11"/>
      <c r="R30" s="11"/>
      <c r="S30" s="11"/>
      <c r="T30" s="11"/>
      <c r="U30" s="11"/>
      <c r="V30" s="11"/>
    </row>
    <row r="31" spans="1:25" ht="15.75" customHeight="1" x14ac:dyDescent="0.35">
      <c r="A31" s="36" t="s">
        <v>102</v>
      </c>
      <c r="B31" s="73"/>
      <c r="C31" s="73">
        <f>IF(OR(NOT(ISNUMBER('Monthly Inputs'!C27)),NOT(ISNUMBER('Monthly Inputs'!C28)),NOT(ISNUMBER('Monthly Inputs'!B27)),'Monthly Inputs'!B27=0),"",('Monthly Inputs'!C27-'Monthly Inputs'!C28)/'Monthly Inputs'!B27)</f>
        <v>0.80132450331125826</v>
      </c>
      <c r="D31" s="73">
        <f>IF(OR(NOT(ISNUMBER('Monthly Inputs'!D27)),NOT(ISNUMBER('Monthly Inputs'!D28)),NOT(ISNUMBER('Monthly Inputs'!C27)),'Monthly Inputs'!C27=0),"",('Monthly Inputs'!D27-'Monthly Inputs'!D28)/'Monthly Inputs'!C27)</f>
        <v>0.84158415841584155</v>
      </c>
      <c r="E31" s="73">
        <f>IF(OR(NOT(ISNUMBER('Monthly Inputs'!E27)),NOT(ISNUMBER('Monthly Inputs'!E28)),NOT(ISNUMBER('Monthly Inputs'!D27)),'Monthly Inputs'!D27=0),"",('Monthly Inputs'!E27-'Monthly Inputs'!E28)/'Monthly Inputs'!D27)</f>
        <v>0.78115501519756836</v>
      </c>
      <c r="F31" s="73">
        <f>IF(OR(NOT(ISNUMBER('Monthly Inputs'!F27)),NOT(ISNUMBER('Monthly Inputs'!F28)),NOT(ISNUMBER('Monthly Inputs'!E27)),'Monthly Inputs'!E27=0),"",('Monthly Inputs'!F27-'Monthly Inputs'!F28)/'Monthly Inputs'!E27)</f>
        <v>0.84012539184952983</v>
      </c>
      <c r="G31" s="73">
        <f>IF(OR(NOT(ISNUMBER('Monthly Inputs'!G27)),NOT(ISNUMBER('Monthly Inputs'!G28)),NOT(ISNUMBER('Monthly Inputs'!F27)),'Monthly Inputs'!F27=0),"",('Monthly Inputs'!G27-'Monthly Inputs'!G28)/'Monthly Inputs'!F27)</f>
        <v>0.7640117994100295</v>
      </c>
      <c r="H31" s="73">
        <f>IF(OR(NOT(ISNUMBER('Monthly Inputs'!H27)),NOT(ISNUMBER('Monthly Inputs'!H28)),NOT(ISNUMBER('Monthly Inputs'!G27)),'Monthly Inputs'!G27=0),"",('Monthly Inputs'!H27-'Monthly Inputs'!H28)/'Monthly Inputs'!G27)</f>
        <v>0.734375</v>
      </c>
      <c r="I31" s="73">
        <f>IF(OR(NOT(ISNUMBER('Monthly Inputs'!I27)),NOT(ISNUMBER('Monthly Inputs'!I28)),NOT(ISNUMBER('Monthly Inputs'!H27)),'Monthly Inputs'!H27=0),"",('Monthly Inputs'!I27-'Monthly Inputs'!I28)/'Monthly Inputs'!H27)</f>
        <v>0.85964912280701755</v>
      </c>
      <c r="J31" s="73">
        <f>IF(OR(NOT(ISNUMBER('Monthly Inputs'!J27)),NOT(ISNUMBER('Monthly Inputs'!J28)),NOT(ISNUMBER('Monthly Inputs'!I27)),'Monthly Inputs'!I27=0),"",('Monthly Inputs'!J27-'Monthly Inputs'!J28)/'Monthly Inputs'!I27)</f>
        <v>0.87012987012987009</v>
      </c>
      <c r="K31" s="73">
        <f>IF(OR(NOT(ISNUMBER('Monthly Inputs'!K27)),NOT(ISNUMBER('Monthly Inputs'!K28)),NOT(ISNUMBER('Monthly Inputs'!J27)),'Monthly Inputs'!J27=0),"",('Monthly Inputs'!K27-'Monthly Inputs'!K28)/'Monthly Inputs'!J27)</f>
        <v>0.82</v>
      </c>
      <c r="L31" s="73">
        <f>IF(OR(NOT(ISNUMBER('Monthly Inputs'!L27)),NOT(ISNUMBER('Monthly Inputs'!L28)),NOT(ISNUMBER('Monthly Inputs'!K27)),'Monthly Inputs'!K27=0),"",('Monthly Inputs'!L27-'Monthly Inputs'!L28)/'Monthly Inputs'!K27)</f>
        <v>0.88919667590027696</v>
      </c>
      <c r="M31" s="73">
        <f>IF(OR(NOT(ISNUMBER('Monthly Inputs'!M27)),NOT(ISNUMBER('Monthly Inputs'!M28)),NOT(ISNUMBER('Monthly Inputs'!L27)),'Monthly Inputs'!L27=0),"",('Monthly Inputs'!M27-'Monthly Inputs'!M28)/'Monthly Inputs'!L27)</f>
        <v>0.68229166666666663</v>
      </c>
      <c r="N31" s="74">
        <f>IFERROR(INDEX($B31:$M31,$B$4),"")</f>
        <v>0.68229166666666663</v>
      </c>
      <c r="O31" s="75">
        <f>IF($B$4&lt;=1,"",IFERROR(INDEX($B31:$M31,$B$4-1),""))</f>
        <v>0.88919667590027696</v>
      </c>
      <c r="P31" s="75">
        <f>IFERROR(AVERAGE($B31:$M31),"")</f>
        <v>0.80762210942618717</v>
      </c>
      <c r="Q31" s="76">
        <f>IFERROR(IF(ISBLANK(INDEX('KPI Targets'!$D$11:$D$40,MATCH($A31,'KPI Targets'!$B$11:$B$40,0))),"",INDEX('KPI Targets'!$D$11:$D$40,MATCH($A31,'KPI Targets'!$B$11:$B$40,0))),"")</f>
        <v>0.7</v>
      </c>
      <c r="R31" s="68" t="str">
        <f>IFERROR(INDEX('KPI Targets'!$E$11:$E$40,MATCH($A31,'KPI Targets'!$B$11:$B$40,0)),"")</f>
        <v>Higher</v>
      </c>
      <c r="S31" s="69">
        <f>IF(OR($N31="",$Q31="",$Q31=0,AND($R31&lt;&gt;"Higher",$R31&lt;&gt;"Lower")),"",IFERROR(MIN(2,IF($R31="Lower",$Q31/$N31,$N31/$Q31)),""))</f>
        <v>0.97470238095238093</v>
      </c>
      <c r="T31" s="70">
        <f>IF($W31="Action",IF($S31="",1,$S31)+ROW()/1000000,IF($W31="Watch",10+IF($S31="",1,$S31)+ROW()/1000000,""))</f>
        <v>10.974733380952381</v>
      </c>
      <c r="U31" s="71" t="str">
        <f>IF($N31="","",TEXT($N31,"0.0%"))</f>
        <v>68.2%</v>
      </c>
      <c r="V31" s="71" t="str">
        <f>IF($Q31="","",TEXT($Q31,"0.0%"))</f>
        <v>70.0%</v>
      </c>
      <c r="W31" s="59" t="str">
        <f>'KPI Dashboard'!$O$36</f>
        <v>Watch</v>
      </c>
      <c r="X31" s="72" t="str">
        <f>IF($W31&lt;&gt;"On Track","",IF($S31="",1,$S31)+ROW()/1000000)</f>
        <v/>
      </c>
      <c r="Y31" s="63">
        <f>IF(AND(ISNUMBER(INDEX('Monthly Inputs'!$B$27:$M$27,0,$B$4)),ISNUMBER(INDEX('Monthly Inputs'!$B$28:$M$28,0,$B$4)),$B$4&gt;1,ISNUMBER(INDEX('Monthly Inputs'!$B$27:$M$27,0,$B$4-1))),1,0)</f>
        <v>1</v>
      </c>
    </row>
    <row r="32" spans="1:25" ht="15.75" customHeight="1" x14ac:dyDescent="0.35">
      <c r="A32" s="36" t="s">
        <v>103</v>
      </c>
      <c r="B32" s="73">
        <f>IF(OR(NOT(ISNUMBER('Monthly Inputs'!B28)),NOT(ISNUMBER('Monthly Inputs'!B27)),'Monthly Inputs'!B27=0),"",'Monthly Inputs'!B28/'Monthly Inputs'!B27)</f>
        <v>0.21523178807947019</v>
      </c>
      <c r="C32" s="73">
        <f>IF(OR(NOT(ISNUMBER('Monthly Inputs'!C28)),NOT(ISNUMBER('Monthly Inputs'!C27)),'Monthly Inputs'!C27=0),"",'Monthly Inputs'!C28/'Monthly Inputs'!C27)</f>
        <v>0.20132013201320131</v>
      </c>
      <c r="D32" s="73">
        <f>IF(OR(NOT(ISNUMBER('Monthly Inputs'!D28)),NOT(ISNUMBER('Monthly Inputs'!D27)),'Monthly Inputs'!D27=0),"",'Monthly Inputs'!D28/'Monthly Inputs'!D27)</f>
        <v>0.22492401215805471</v>
      </c>
      <c r="E32" s="73">
        <f>IF(OR(NOT(ISNUMBER('Monthly Inputs'!E28)),NOT(ISNUMBER('Monthly Inputs'!E27)),'Monthly Inputs'!E27=0),"",'Monthly Inputs'!E28/'Monthly Inputs'!E27)</f>
        <v>0.19435736677115986</v>
      </c>
      <c r="F32" s="73">
        <f>IF(OR(NOT(ISNUMBER('Monthly Inputs'!F28)),NOT(ISNUMBER('Monthly Inputs'!F27)),'Monthly Inputs'!F27=0),"",'Monthly Inputs'!F28/'Monthly Inputs'!F27)</f>
        <v>0.20943952802359883</v>
      </c>
      <c r="G32" s="73">
        <f>IF(OR(NOT(ISNUMBER('Monthly Inputs'!G28)),NOT(ISNUMBER('Monthly Inputs'!G27)),'Monthly Inputs'!G27=0),"",'Monthly Inputs'!G28/'Monthly Inputs'!G27)</f>
        <v>0.19062499999999999</v>
      </c>
      <c r="H32" s="73">
        <f>IF(OR(NOT(ISNUMBER('Monthly Inputs'!H28)),NOT(ISNUMBER('Monthly Inputs'!H27)),'Monthly Inputs'!H27=0),"",'Monthly Inputs'!H28/'Monthly Inputs'!H27)</f>
        <v>0.17543859649122806</v>
      </c>
      <c r="I32" s="73">
        <f>IF(OR(NOT(ISNUMBER('Monthly Inputs'!I28)),NOT(ISNUMBER('Monthly Inputs'!I27)),'Monthly Inputs'!I27=0),"",'Monthly Inputs'!I28/'Monthly Inputs'!I27)</f>
        <v>0.20454545454545456</v>
      </c>
      <c r="J32" s="73">
        <f>IF(OR(NOT(ISNUMBER('Monthly Inputs'!J28)),NOT(ISNUMBER('Monthly Inputs'!J27)),'Monthly Inputs'!J27=0),"",'Monthly Inputs'!J28/'Monthly Inputs'!J27)</f>
        <v>0.23428571428571429</v>
      </c>
      <c r="K32" s="73">
        <f>IF(OR(NOT(ISNUMBER('Monthly Inputs'!K28)),NOT(ISNUMBER('Monthly Inputs'!K27)),'Monthly Inputs'!K27=0),"",'Monthly Inputs'!K28/'Monthly Inputs'!K27)</f>
        <v>0.20498614958448755</v>
      </c>
      <c r="L32" s="73">
        <f>IF(OR(NOT(ISNUMBER('Monthly Inputs'!L28)),NOT(ISNUMBER('Monthly Inputs'!L27)),'Monthly Inputs'!L27=0),"",'Monthly Inputs'!L28/'Monthly Inputs'!L27)</f>
        <v>0.1640625</v>
      </c>
      <c r="M32" s="73">
        <f>IF(OR(NOT(ISNUMBER('Monthly Inputs'!M28)),NOT(ISNUMBER('Monthly Inputs'!M27)),'Monthly Inputs'!M27=0),"",'Monthly Inputs'!M28/'Monthly Inputs'!M27)</f>
        <v>0.12666666666666668</v>
      </c>
      <c r="N32" s="74">
        <f>IFERROR(INDEX($B32:$M32,$B$4),"")</f>
        <v>0.12666666666666668</v>
      </c>
      <c r="O32" s="75">
        <f>IF($B$4&lt;=1,"",IFERROR(INDEX($B32:$M32,$B$4-1),""))</f>
        <v>0.1640625</v>
      </c>
      <c r="P32" s="75">
        <f>IFERROR(AVERAGE($B32:$M32),"")</f>
        <v>0.19549024238491966</v>
      </c>
      <c r="Q32" s="76" t="str">
        <f>IFERROR(IF(ISBLANK(INDEX('KPI Targets'!$D$11:$D$40,MATCH($A32,'KPI Targets'!$B$11:$B$40,0))),"",INDEX('KPI Targets'!$D$11:$D$40,MATCH($A32,'KPI Targets'!$B$11:$B$40,0))),"")</f>
        <v/>
      </c>
      <c r="R32" s="68" t="str">
        <f>IFERROR(INDEX('KPI Targets'!$E$11:$E$40,MATCH($A32,'KPI Targets'!$B$11:$B$40,0)),"")</f>
        <v>Context</v>
      </c>
      <c r="S32" s="69" t="str">
        <f>IF(OR($N32="",$Q32="",$Q32=0,AND($R32&lt;&gt;"Higher",$R32&lt;&gt;"Lower")),"",IFERROR(MIN(2,IF($R32="Lower",$Q32/$N32,$N32/$Q32)),""))</f>
        <v/>
      </c>
      <c r="T32" s="70" t="str">
        <f>IF($W32="Action",IF($S32="",1,$S32)+ROW()/1000000,IF($W32="Watch",10+IF($S32="",1,$S32)+ROW()/1000000,""))</f>
        <v/>
      </c>
      <c r="U32" s="71" t="str">
        <f>IF($N32="","",TEXT($N32,"0.0%"))</f>
        <v>12.7%</v>
      </c>
      <c r="V32" s="71" t="str">
        <f>IF($Q32="","",TEXT($Q32,"0.0%"))</f>
        <v/>
      </c>
      <c r="W32" s="59" t="str">
        <f>'KPI Dashboard'!$O$37</f>
        <v>Monitor</v>
      </c>
      <c r="X32" s="72" t="str">
        <f>IF($W32&lt;&gt;"On Track","",IF($S32="",1,$S32)+ROW()/1000000)</f>
        <v/>
      </c>
      <c r="Y32" s="63">
        <f>IF(AND(ISNUMBER(INDEX('Monthly Inputs'!$B$28:$M$28,0,$B$4)),ISNUMBER(INDEX('Monthly Inputs'!$B$27:$M$27,0,$B$4))),1,0)</f>
        <v>1</v>
      </c>
    </row>
    <row r="33" spans="1:25" ht="14.25" customHeight="1" x14ac:dyDescent="0.35">
      <c r="S33" s="77"/>
      <c r="T33" s="77"/>
      <c r="U33" s="77"/>
      <c r="V33" s="77"/>
    </row>
    <row r="34" spans="1:25" ht="19.5" customHeight="1" x14ac:dyDescent="0.35">
      <c r="A34" s="11" t="s">
        <v>104</v>
      </c>
      <c r="B34" s="11"/>
      <c r="C34" s="11"/>
      <c r="D34" s="11"/>
      <c r="E34" s="11"/>
      <c r="F34" s="11"/>
      <c r="G34" s="11"/>
      <c r="H34" s="11"/>
      <c r="I34" s="11"/>
      <c r="J34" s="11"/>
      <c r="K34" s="11"/>
      <c r="L34" s="11"/>
      <c r="M34" s="11"/>
      <c r="N34" s="11"/>
      <c r="O34" s="11"/>
      <c r="P34" s="11"/>
      <c r="Q34" s="11"/>
      <c r="R34" s="11"/>
      <c r="S34" s="11"/>
      <c r="T34" s="11"/>
      <c r="U34" s="11"/>
      <c r="V34" s="11"/>
    </row>
    <row r="35" spans="1:25" ht="15.75" customHeight="1" x14ac:dyDescent="0.35">
      <c r="A35" s="36" t="s">
        <v>105</v>
      </c>
      <c r="B35" s="73">
        <f>IF(OR(NOT(ISNUMBER('Monthly Inputs'!B15)),NOT(ISNUMBER('Monthly Inputs'!B16)),COUNT('Monthly Inputs'!B10:B12)&lt;3,'Monthly Inputs'!B9=0),"",('Monthly Inputs'!B15+'Monthly Inputs'!B16)/'Monthly Inputs'!B9)</f>
        <v>0.53913043478260869</v>
      </c>
      <c r="C35" s="73">
        <f>IF(OR(NOT(ISNUMBER('Monthly Inputs'!C15)),NOT(ISNUMBER('Monthly Inputs'!C16)),COUNT('Monthly Inputs'!C10:C12)&lt;3,'Monthly Inputs'!C9=0),"",('Monthly Inputs'!C15+'Monthly Inputs'!C16)/'Monthly Inputs'!C9)</f>
        <v>0.53333333333333333</v>
      </c>
      <c r="D35" s="73">
        <f>IF(OR(NOT(ISNUMBER('Monthly Inputs'!D15)),NOT(ISNUMBER('Monthly Inputs'!D16)),COUNT('Monthly Inputs'!D10:D12)&lt;3,'Monthly Inputs'!D9=0),"",('Monthly Inputs'!D15+'Monthly Inputs'!D16)/'Monthly Inputs'!D9)</f>
        <v>0.52115384615384619</v>
      </c>
      <c r="E35" s="73">
        <f>IF(OR(NOT(ISNUMBER('Monthly Inputs'!E15)),NOT(ISNUMBER('Monthly Inputs'!E16)),COUNT('Monthly Inputs'!E10:E12)&lt;3,'Monthly Inputs'!E9=0),"",('Monthly Inputs'!E15+'Monthly Inputs'!E16)/'Monthly Inputs'!E9)</f>
        <v>0.52828282828282824</v>
      </c>
      <c r="F35" s="73">
        <f>IF(OR(NOT(ISNUMBER('Monthly Inputs'!F15)),NOT(ISNUMBER('Monthly Inputs'!F16)),COUNT('Monthly Inputs'!F10:F12)&lt;3,'Monthly Inputs'!F9=0),"",('Monthly Inputs'!F15+'Monthly Inputs'!F16)/'Monthly Inputs'!F9)</f>
        <v>0.52222222222222225</v>
      </c>
      <c r="G35" s="73">
        <f>IF(OR(NOT(ISNUMBER('Monthly Inputs'!G15)),NOT(ISNUMBER('Monthly Inputs'!G16)),COUNT('Monthly Inputs'!G10:G12)&lt;3,'Monthly Inputs'!G9=0),"",('Monthly Inputs'!G15+'Monthly Inputs'!G16)/'Monthly Inputs'!G9)</f>
        <v>0.5303921568627451</v>
      </c>
      <c r="H35" s="73">
        <f>IF(OR(NOT(ISNUMBER('Monthly Inputs'!H15)),NOT(ISNUMBER('Monthly Inputs'!H16)),COUNT('Monthly Inputs'!H10:H12)&lt;3,'Monthly Inputs'!H9=0),"",('Monthly Inputs'!H15+'Monthly Inputs'!H16)/'Monthly Inputs'!H9)</f>
        <v>0.55340909090909096</v>
      </c>
      <c r="I35" s="73">
        <f>IF(OR(NOT(ISNUMBER('Monthly Inputs'!I15)),NOT(ISNUMBER('Monthly Inputs'!I16)),COUNT('Monthly Inputs'!I10:I12)&lt;3,'Monthly Inputs'!I9=0),"",('Monthly Inputs'!I15+'Monthly Inputs'!I16)/'Monthly Inputs'!I9)</f>
        <v>0.54255319148936165</v>
      </c>
      <c r="J35" s="73">
        <f>IF(OR(NOT(ISNUMBER('Monthly Inputs'!J15)),NOT(ISNUMBER('Monthly Inputs'!J16)),COUNT('Monthly Inputs'!J10:J12)&lt;3,'Monthly Inputs'!J9=0),"",('Monthly Inputs'!J15+'Monthly Inputs'!J16)/'Monthly Inputs'!J9)</f>
        <v>0.53928571428571426</v>
      </c>
      <c r="K35" s="73">
        <f>IF(OR(NOT(ISNUMBER('Monthly Inputs'!K15)),NOT(ISNUMBER('Monthly Inputs'!K16)),COUNT('Monthly Inputs'!K10:K12)&lt;3,'Monthly Inputs'!K9=0),"",('Monthly Inputs'!K15+'Monthly Inputs'!K16)/'Monthly Inputs'!K9)</f>
        <v>0.53220338983050852</v>
      </c>
      <c r="L35" s="73">
        <f>IF(OR(NOT(ISNUMBER('Monthly Inputs'!L15)),NOT(ISNUMBER('Monthly Inputs'!L16)),COUNT('Monthly Inputs'!L10:L12)&lt;3,'Monthly Inputs'!L9=0),"",('Monthly Inputs'!L15+'Monthly Inputs'!L16)/'Monthly Inputs'!L9)</f>
        <v>0.54913793103448272</v>
      </c>
      <c r="M35" s="73">
        <f>IF(OR(NOT(ISNUMBER('Monthly Inputs'!M15)),NOT(ISNUMBER('Monthly Inputs'!M16)),COUNT('Monthly Inputs'!M10:M12)&lt;3,'Monthly Inputs'!M9=0),"",('Monthly Inputs'!M15+'Monthly Inputs'!M16)/'Monthly Inputs'!M9)</f>
        <v>0.55779816513761471</v>
      </c>
      <c r="N35" s="74">
        <f>IFERROR(INDEX($B35:$M35,$B$4),"")</f>
        <v>0.55779816513761471</v>
      </c>
      <c r="O35" s="75">
        <f>IF($B$4&lt;=1,"",IFERROR(INDEX($B35:$M35,$B$4-1),""))</f>
        <v>0.54913793103448272</v>
      </c>
      <c r="P35" s="75">
        <f>IFERROR(AVERAGE($B35:$M35),"")</f>
        <v>0.53740852536036299</v>
      </c>
      <c r="Q35" s="76">
        <f>IFERROR(IF(ISBLANK(INDEX('KPI Targets'!$D$11:$D$40,MATCH($A35,'KPI Targets'!$B$11:$B$40,0))),"",INDEX('KPI Targets'!$D$11:$D$40,MATCH($A35,'KPI Targets'!$B$11:$B$40,0))),"")</f>
        <v>0.55000000000000004</v>
      </c>
      <c r="R35" s="68" t="str">
        <f>IFERROR(INDEX('KPI Targets'!$E$11:$E$40,MATCH($A35,'KPI Targets'!$B$11:$B$40,0)),"")</f>
        <v>Lower</v>
      </c>
      <c r="S35" s="69">
        <f>IF(OR($N35="",$Q35="",$Q35=0,AND($R35&lt;&gt;"Higher",$R35&lt;&gt;"Lower")),"",IFERROR(MIN(2,IF($R35="Lower",$Q35/$N35,$N35/$Q35)),""))</f>
        <v>0.98601973684210531</v>
      </c>
      <c r="T35" s="70">
        <f>IF($W35="Action",IF($S35="",1,$S35)+ROW()/1000000,IF($W35="Watch",10+IF($S35="",1,$S35)+ROW()/1000000,""))</f>
        <v>10.986054736842107</v>
      </c>
      <c r="U35" s="71" t="str">
        <f>IF($N35="","",TEXT($N35,"0.0%"))</f>
        <v>55.8%</v>
      </c>
      <c r="V35" s="71" t="str">
        <f>IF($Q35="","",TEXT($Q35,"0.0%"))</f>
        <v>55.0%</v>
      </c>
      <c r="W35" s="59" t="str">
        <f>'KPI Dashboard'!$O$40</f>
        <v>Watch</v>
      </c>
      <c r="X35" s="72" t="str">
        <f>IF($W35&lt;&gt;"On Track","",IF($S35="",1,$S35)+ROW()/1000000)</f>
        <v/>
      </c>
      <c r="Y35" s="63">
        <f>IF(AND(ISNUMBER(INDEX('Monthly Inputs'!$B$15:$M$15,0,$B$4)),ISNUMBER(INDEX('Monthly Inputs'!$B$16:$M$16,0,$B$4)),COUNT(INDEX('Monthly Inputs'!$B$10:$M$12,0,$B$4))=3),1,0)</f>
        <v>1</v>
      </c>
    </row>
    <row r="36" spans="1:25" ht="15.75" customHeight="1" x14ac:dyDescent="0.35">
      <c r="A36" s="36" t="s">
        <v>106</v>
      </c>
      <c r="B36" s="73">
        <f>IF(OR(NOT(ISNUMBER('Monthly Inputs'!B19)),COUNT('Monthly Inputs'!B10:B12)&lt;3,'Monthly Inputs'!B9=0),"",'Monthly Inputs'!B19/'Monthly Inputs'!B9)</f>
        <v>3.9130434782608699E-2</v>
      </c>
      <c r="C36" s="73">
        <f>IF(OR(NOT(ISNUMBER('Monthly Inputs'!C19)),COUNT('Monthly Inputs'!C10:C12)&lt;3,'Monthly Inputs'!C9=0),"",'Monthly Inputs'!C19/'Monthly Inputs'!C9)</f>
        <v>3.3333333333333333E-2</v>
      </c>
      <c r="D36" s="73">
        <f>IF(OR(NOT(ISNUMBER('Monthly Inputs'!D19)),COUNT('Monthly Inputs'!D10:D12)&lt;3,'Monthly Inputs'!D9=0),"",'Monthly Inputs'!D19/'Monthly Inputs'!D9)</f>
        <v>4.230769230769231E-2</v>
      </c>
      <c r="E36" s="73">
        <f>IF(OR(NOT(ISNUMBER('Monthly Inputs'!E19)),COUNT('Monthly Inputs'!E10:E12)&lt;3,'Monthly Inputs'!E9=0),"",'Monthly Inputs'!E19/'Monthly Inputs'!E9)</f>
        <v>4.1414141414141417E-2</v>
      </c>
      <c r="F36" s="73">
        <f>IF(OR(NOT(ISNUMBER('Monthly Inputs'!F19)),COUNT('Monthly Inputs'!F10:F12)&lt;3,'Monthly Inputs'!F9=0),"",'Monthly Inputs'!F19/'Monthly Inputs'!F9)</f>
        <v>3.6111111111111108E-2</v>
      </c>
      <c r="G36" s="73">
        <f>IF(OR(NOT(ISNUMBER('Monthly Inputs'!G19)),COUNT('Monthly Inputs'!G10:G12)&lt;3,'Monthly Inputs'!G9=0),"",'Monthly Inputs'!G19/'Monthly Inputs'!G9)</f>
        <v>3.4313725490196081E-2</v>
      </c>
      <c r="H36" s="73">
        <f>IF(OR(NOT(ISNUMBER('Monthly Inputs'!H19)),COUNT('Monthly Inputs'!H10:H12)&lt;3,'Monthly Inputs'!H9=0),"",'Monthly Inputs'!H19/'Monthly Inputs'!H9)</f>
        <v>3.2954545454545452E-2</v>
      </c>
      <c r="I36" s="73">
        <f>IF(OR(NOT(ISNUMBER('Monthly Inputs'!I19)),COUNT('Monthly Inputs'!I10:I12)&lt;3,'Monthly Inputs'!I9=0),"",'Monthly Inputs'!I19/'Monthly Inputs'!I9)</f>
        <v>4.8936170212765959E-2</v>
      </c>
      <c r="J36" s="73">
        <f>IF(OR(NOT(ISNUMBER('Monthly Inputs'!J19)),COUNT('Monthly Inputs'!J10:J12)&lt;3,'Monthly Inputs'!J9=0),"",'Monthly Inputs'!J19/'Monthly Inputs'!J9)</f>
        <v>3.3928571428571426E-2</v>
      </c>
      <c r="K36" s="73">
        <f>IF(OR(NOT(ISNUMBER('Monthly Inputs'!K19)),COUNT('Monthly Inputs'!K10:K12)&lt;3,'Monthly Inputs'!K9=0),"",'Monthly Inputs'!K19/'Monthly Inputs'!K9)</f>
        <v>2.4576271186440679E-2</v>
      </c>
      <c r="L36" s="73">
        <f>IF(OR(NOT(ISNUMBER('Monthly Inputs'!L19)),COUNT('Monthly Inputs'!L10:L12)&lt;3,'Monthly Inputs'!L9=0),"",'Monthly Inputs'!L19/'Monthly Inputs'!L9)</f>
        <v>2.0689655172413793E-2</v>
      </c>
      <c r="M36" s="73">
        <f>IF(OR(NOT(ISNUMBER('Monthly Inputs'!M19)),COUNT('Monthly Inputs'!M10:M12)&lt;3,'Monthly Inputs'!M9=0),"",'Monthly Inputs'!M19/'Monthly Inputs'!M9)</f>
        <v>2.0183486238532111E-2</v>
      </c>
      <c r="N36" s="74">
        <f>IFERROR(INDEX($B36:$M36,$B$4),"")</f>
        <v>2.0183486238532111E-2</v>
      </c>
      <c r="O36" s="75">
        <f>IF($B$4&lt;=1,"",IFERROR(INDEX($B36:$M36,$B$4-1),""))</f>
        <v>2.0689655172413793E-2</v>
      </c>
      <c r="P36" s="75">
        <f>IFERROR(AVERAGE($B36:$M36),"")</f>
        <v>3.3989928177696027E-2</v>
      </c>
      <c r="Q36" s="76" t="str">
        <f>IFERROR(IF(ISBLANK(INDEX('KPI Targets'!$D$11:$D$40,MATCH($A36,'KPI Targets'!$B$11:$B$40,0))),"",INDEX('KPI Targets'!$D$11:$D$40,MATCH($A36,'KPI Targets'!$B$11:$B$40,0))),"")</f>
        <v/>
      </c>
      <c r="R36" s="68" t="str">
        <f>IFERROR(INDEX('KPI Targets'!$E$11:$E$40,MATCH($A36,'KPI Targets'!$B$11:$B$40,0)),"")</f>
        <v>Context</v>
      </c>
      <c r="S36" s="69" t="str">
        <f>IF(OR($N36="",$Q36="",$Q36=0,AND($R36&lt;&gt;"Higher",$R36&lt;&gt;"Lower")),"",IFERROR(MIN(2,IF($R36="Lower",$Q36/$N36,$N36/$Q36)),""))</f>
        <v/>
      </c>
      <c r="T36" s="70" t="str">
        <f>IF($W36="Action",IF($S36="",1,$S36)+ROW()/1000000,IF($W36="Watch",10+IF($S36="",1,$S36)+ROW()/1000000,""))</f>
        <v/>
      </c>
      <c r="U36" s="71" t="str">
        <f>IF($N36="","",TEXT($N36,"0.0%"))</f>
        <v>2.0%</v>
      </c>
      <c r="V36" s="71" t="str">
        <f>IF($Q36="","",TEXT($Q36,"0.0%"))</f>
        <v/>
      </c>
      <c r="W36" s="59" t="str">
        <f>'KPI Dashboard'!$O$41</f>
        <v>Monitor</v>
      </c>
      <c r="X36" s="72" t="str">
        <f>IF($W36&lt;&gt;"On Track","",IF($S36="",1,$S36)+ROW()/1000000)</f>
        <v/>
      </c>
      <c r="Y36" s="63">
        <f>IF(AND(ISNUMBER(INDEX('Monthly Inputs'!$B$19:$M$19,0,$B$4)),COUNT(INDEX('Monthly Inputs'!$B$10:$M$12,0,$B$4))=3),1,0)</f>
        <v>1</v>
      </c>
    </row>
    <row r="37" spans="1:25" ht="15.75" customHeight="1" x14ac:dyDescent="0.35">
      <c r="A37" s="36" t="s">
        <v>107</v>
      </c>
      <c r="B37" s="73">
        <f>IF(OR(NOT(ISNUMBER('Monthly Inputs'!B39)),COUNT('Monthly Inputs'!B10:B12)&lt;3,'Monthly Inputs'!B9=0),"",'Monthly Inputs'!B39/'Monthly Inputs'!B9)</f>
        <v>0.13043478260869565</v>
      </c>
      <c r="C37" s="73">
        <f>IF(OR(NOT(ISNUMBER('Monthly Inputs'!C39)),COUNT('Monthly Inputs'!C10:C12)&lt;3,'Monthly Inputs'!C9=0),"",'Monthly Inputs'!C39/'Monthly Inputs'!C9)</f>
        <v>0.125</v>
      </c>
      <c r="D37" s="73">
        <f>IF(OR(NOT(ISNUMBER('Monthly Inputs'!D39)),COUNT('Monthly Inputs'!D10:D12)&lt;3,'Monthly Inputs'!D9=0),"",'Monthly Inputs'!D39/'Monthly Inputs'!D9)</f>
        <v>0.11538461538461539</v>
      </c>
      <c r="E37" s="73">
        <f>IF(OR(NOT(ISNUMBER('Monthly Inputs'!E39)),COUNT('Monthly Inputs'!E10:E12)&lt;3,'Monthly Inputs'!E9=0),"",'Monthly Inputs'!E39/'Monthly Inputs'!E9)</f>
        <v>0.12121212121212122</v>
      </c>
      <c r="F37" s="73">
        <f>IF(OR(NOT(ISNUMBER('Monthly Inputs'!F39)),COUNT('Monthly Inputs'!F10:F12)&lt;3,'Monthly Inputs'!F9=0),"",'Monthly Inputs'!F39/'Monthly Inputs'!F9)</f>
        <v>0.1111111111111111</v>
      </c>
      <c r="G37" s="73">
        <f>IF(OR(NOT(ISNUMBER('Monthly Inputs'!G39)),COUNT('Monthly Inputs'!G10:G12)&lt;3,'Monthly Inputs'!G9=0),"",'Monthly Inputs'!G39/'Monthly Inputs'!G9)</f>
        <v>0.11764705882352941</v>
      </c>
      <c r="H37" s="73">
        <f>IF(OR(NOT(ISNUMBER('Monthly Inputs'!H39)),COUNT('Monthly Inputs'!H10:H12)&lt;3,'Monthly Inputs'!H9=0),"",'Monthly Inputs'!H39/'Monthly Inputs'!H9)</f>
        <v>0.13636363636363635</v>
      </c>
      <c r="I37" s="73">
        <f>IF(OR(NOT(ISNUMBER('Monthly Inputs'!I39)),COUNT('Monthly Inputs'!I10:I12)&lt;3,'Monthly Inputs'!I9=0),"",'Monthly Inputs'!I39/'Monthly Inputs'!I9)</f>
        <v>0.1276595744680851</v>
      </c>
      <c r="J37" s="73">
        <f>IF(OR(NOT(ISNUMBER('Monthly Inputs'!J39)),COUNT('Monthly Inputs'!J10:J12)&lt;3,'Monthly Inputs'!J9=0),"",'Monthly Inputs'!J39/'Monthly Inputs'!J9)</f>
        <v>0.125</v>
      </c>
      <c r="K37" s="73">
        <f>IF(OR(NOT(ISNUMBER('Monthly Inputs'!K39)),COUNT('Monthly Inputs'!K10:K12)&lt;3,'Monthly Inputs'!K9=0),"",'Monthly Inputs'!K39/'Monthly Inputs'!K9)</f>
        <v>0.11864406779661017</v>
      </c>
      <c r="L37" s="73">
        <f>IF(OR(NOT(ISNUMBER('Monthly Inputs'!L39)),COUNT('Monthly Inputs'!L10:L12)&lt;3,'Monthly Inputs'!L9=0),"",'Monthly Inputs'!L39/'Monthly Inputs'!L9)</f>
        <v>0.1206896551724138</v>
      </c>
      <c r="M37" s="73">
        <f>IF(OR(NOT(ISNUMBER('Monthly Inputs'!M39)),COUNT('Monthly Inputs'!M10:M12)&lt;3,'Monthly Inputs'!M9=0),"",'Monthly Inputs'!M39/'Monthly Inputs'!M9)</f>
        <v>0.12844036697247707</v>
      </c>
      <c r="N37" s="74">
        <f>IFERROR(INDEX($B37:$M37,$B$4),"")</f>
        <v>0.12844036697247707</v>
      </c>
      <c r="O37" s="75">
        <f>IF($B$4&lt;=1,"",IFERROR(INDEX($B37:$M37,$B$4-1),""))</f>
        <v>0.1206896551724138</v>
      </c>
      <c r="P37" s="75">
        <f>IFERROR(AVERAGE($B37:$M37),"")</f>
        <v>0.12313224915944125</v>
      </c>
      <c r="Q37" s="76" t="str">
        <f>IFERROR(IF(ISBLANK(INDEX('KPI Targets'!$D$11:$D$40,MATCH($A37,'KPI Targets'!$B$11:$B$40,0))),"",INDEX('KPI Targets'!$D$11:$D$40,MATCH($A37,'KPI Targets'!$B$11:$B$40,0))),"")</f>
        <v/>
      </c>
      <c r="R37" s="68" t="str">
        <f>IFERROR(INDEX('KPI Targets'!$E$11:$E$40,MATCH($A37,'KPI Targets'!$B$11:$B$40,0)),"")</f>
        <v>Context</v>
      </c>
      <c r="S37" s="69" t="str">
        <f>IF(OR($N37="",$Q37="",$Q37=0,AND($R37&lt;&gt;"Higher",$R37&lt;&gt;"Lower")),"",IFERROR(MIN(2,IF($R37="Lower",$Q37/$N37,$N37/$Q37)),""))</f>
        <v/>
      </c>
      <c r="T37" s="70" t="str">
        <f>IF($W37="Action",IF($S37="",1,$S37)+ROW()/1000000,IF($W37="Watch",10+IF($S37="",1,$S37)+ROW()/1000000,""))</f>
        <v/>
      </c>
      <c r="U37" s="71" t="str">
        <f>IF($N37="","",TEXT($N37,"0.0%"))</f>
        <v>12.8%</v>
      </c>
      <c r="V37" s="71" t="str">
        <f>IF($Q37="","",TEXT($Q37,"0.0%"))</f>
        <v/>
      </c>
      <c r="W37" s="59" t="str">
        <f>'KPI Dashboard'!$O$42</f>
        <v>Monitor</v>
      </c>
      <c r="X37" s="72" t="str">
        <f>IF($W37&lt;&gt;"On Track","",IF($S37="",1,$S37)+ROW()/1000000)</f>
        <v/>
      </c>
      <c r="Y37" s="63">
        <f>IF(AND(ISNUMBER(INDEX('Monthly Inputs'!$B$39:$M$39,0,$B$4)),COUNT(INDEX('Monthly Inputs'!$B$10:$M$12,0,$B$4))=3),1,0)</f>
        <v>1</v>
      </c>
    </row>
    <row r="39" spans="1:25" ht="18" customHeight="1" x14ac:dyDescent="0.35">
      <c r="A39" s="10" t="s">
        <v>285</v>
      </c>
      <c r="B39" s="10"/>
      <c r="C39" s="10"/>
      <c r="D39" s="10"/>
      <c r="E39" s="10"/>
      <c r="F39" s="10"/>
      <c r="G39" s="10"/>
      <c r="H39" s="10"/>
      <c r="I39" s="10"/>
      <c r="J39" s="10"/>
      <c r="K39" s="10"/>
      <c r="L39" s="10"/>
      <c r="M39" s="10"/>
      <c r="N39" s="10"/>
      <c r="O39" s="10"/>
      <c r="P39" s="10"/>
      <c r="Q39" s="10"/>
      <c r="R39" s="10"/>
      <c r="S39" s="10"/>
      <c r="T39" s="10"/>
      <c r="U39" s="10"/>
      <c r="V39" s="10"/>
    </row>
  </sheetData>
  <sheetProtection sheet="1"/>
  <mergeCells count="9">
    <mergeCell ref="A23:V23"/>
    <mergeCell ref="A30:V30"/>
    <mergeCell ref="A34:V34"/>
    <mergeCell ref="A39:V39"/>
    <mergeCell ref="A1:V1"/>
    <mergeCell ref="A2:V2"/>
    <mergeCell ref="A5:V5"/>
    <mergeCell ref="A8:V8"/>
    <mergeCell ref="A15:V15"/>
  </mergeCells>
  <conditionalFormatting sqref="B9:M9">
    <cfRule type="dataBar" priority="2">
      <dataBar>
        <cfvo type="min"/>
        <cfvo type="max"/>
        <color rgb="FF23727C"/>
      </dataBar>
      <extLst>
        <ext xmlns:x14="http://schemas.microsoft.com/office/spreadsheetml/2009/9/main" uri="{B025F937-C7B1-47D3-B67F-A62EFF666E3E}">
          <x14:id>{8840F677-5F59-43DF-ACC8-33BFF6548A69}</x14:id>
        </ext>
      </extLst>
    </cfRule>
  </conditionalFormatting>
  <conditionalFormatting sqref="B10:M10">
    <cfRule type="dataBar" priority="3">
      <dataBar>
        <cfvo type="min"/>
        <cfvo type="max"/>
        <color rgb="FF23727C"/>
      </dataBar>
      <extLst>
        <ext xmlns:x14="http://schemas.microsoft.com/office/spreadsheetml/2009/9/main" uri="{B025F937-C7B1-47D3-B67F-A62EFF666E3E}">
          <x14:id>{4EA8A1EA-5C10-4136-B838-4FD112DFB1EC}</x14:id>
        </ext>
      </extLst>
    </cfRule>
  </conditionalFormatting>
  <conditionalFormatting sqref="B11:M11">
    <cfRule type="dataBar" priority="4">
      <dataBar>
        <cfvo type="min"/>
        <cfvo type="max"/>
        <color rgb="FF23727C"/>
      </dataBar>
      <extLst>
        <ext xmlns:x14="http://schemas.microsoft.com/office/spreadsheetml/2009/9/main" uri="{B025F937-C7B1-47D3-B67F-A62EFF666E3E}">
          <x14:id>{597F1074-CBF0-4A2D-B2E2-88B5BD294799}</x14:id>
        </ext>
      </extLst>
    </cfRule>
  </conditionalFormatting>
  <conditionalFormatting sqref="B12:M12">
    <cfRule type="dataBar" priority="5">
      <dataBar>
        <cfvo type="min"/>
        <cfvo type="max"/>
        <color rgb="FF23727C"/>
      </dataBar>
      <extLst>
        <ext xmlns:x14="http://schemas.microsoft.com/office/spreadsheetml/2009/9/main" uri="{B025F937-C7B1-47D3-B67F-A62EFF666E3E}">
          <x14:id>{4A190067-4FF0-4438-9FF0-978B5D370091}</x14:id>
        </ext>
      </extLst>
    </cfRule>
  </conditionalFormatting>
  <conditionalFormatting sqref="B13:M13">
    <cfRule type="dataBar" priority="6">
      <dataBar>
        <cfvo type="min"/>
        <cfvo type="max"/>
        <color rgb="FF23727C"/>
      </dataBar>
      <extLst>
        <ext xmlns:x14="http://schemas.microsoft.com/office/spreadsheetml/2009/9/main" uri="{B025F937-C7B1-47D3-B67F-A62EFF666E3E}">
          <x14:id>{41BB602D-4BF6-4C65-8497-FD6F8FDB0083}</x14:id>
        </ext>
      </extLst>
    </cfRule>
  </conditionalFormatting>
  <conditionalFormatting sqref="B16:M16">
    <cfRule type="dataBar" priority="7">
      <dataBar>
        <cfvo type="min"/>
        <cfvo type="max"/>
        <color rgb="FF23727C"/>
      </dataBar>
      <extLst>
        <ext xmlns:x14="http://schemas.microsoft.com/office/spreadsheetml/2009/9/main" uri="{B025F937-C7B1-47D3-B67F-A62EFF666E3E}">
          <x14:id>{B33CB192-5B89-4C59-BAFC-3A6FCE2D5B75}</x14:id>
        </ext>
      </extLst>
    </cfRule>
  </conditionalFormatting>
  <conditionalFormatting sqref="B17:M17">
    <cfRule type="dataBar" priority="8">
      <dataBar>
        <cfvo type="min"/>
        <cfvo type="max"/>
        <color rgb="FF23727C"/>
      </dataBar>
      <extLst>
        <ext xmlns:x14="http://schemas.microsoft.com/office/spreadsheetml/2009/9/main" uri="{B025F937-C7B1-47D3-B67F-A62EFF666E3E}">
          <x14:id>{AECDA4C2-CCF0-4456-B33C-55A07540B671}</x14:id>
        </ext>
      </extLst>
    </cfRule>
  </conditionalFormatting>
  <conditionalFormatting sqref="B18:M18">
    <cfRule type="dataBar" priority="9">
      <dataBar>
        <cfvo type="min"/>
        <cfvo type="max"/>
        <color rgb="FF23727C"/>
      </dataBar>
      <extLst>
        <ext xmlns:x14="http://schemas.microsoft.com/office/spreadsheetml/2009/9/main" uri="{B025F937-C7B1-47D3-B67F-A62EFF666E3E}">
          <x14:id>{FAA3B879-E0A9-4345-A284-EF542D3FC012}</x14:id>
        </ext>
      </extLst>
    </cfRule>
  </conditionalFormatting>
  <conditionalFormatting sqref="B19:M19">
    <cfRule type="dataBar" priority="10">
      <dataBar>
        <cfvo type="min"/>
        <cfvo type="max"/>
        <color rgb="FF23727C"/>
      </dataBar>
      <extLst>
        <ext xmlns:x14="http://schemas.microsoft.com/office/spreadsheetml/2009/9/main" uri="{B025F937-C7B1-47D3-B67F-A62EFF666E3E}">
          <x14:id>{51A7D551-C4AE-4152-82EF-AF802589B08C}</x14:id>
        </ext>
      </extLst>
    </cfRule>
  </conditionalFormatting>
  <conditionalFormatting sqref="B20:M20">
    <cfRule type="dataBar" priority="11">
      <dataBar>
        <cfvo type="min"/>
        <cfvo type="max"/>
        <color rgb="FF23727C"/>
      </dataBar>
      <extLst>
        <ext xmlns:x14="http://schemas.microsoft.com/office/spreadsheetml/2009/9/main" uri="{B025F937-C7B1-47D3-B67F-A62EFF666E3E}">
          <x14:id>{DC8F53A5-C680-4FE0-AF7F-278E23C041FA}</x14:id>
        </ext>
      </extLst>
    </cfRule>
  </conditionalFormatting>
  <conditionalFormatting sqref="B21:M21">
    <cfRule type="dataBar" priority="12">
      <dataBar>
        <cfvo type="min"/>
        <cfvo type="max"/>
        <color rgb="FF23727C"/>
      </dataBar>
      <extLst>
        <ext xmlns:x14="http://schemas.microsoft.com/office/spreadsheetml/2009/9/main" uri="{B025F937-C7B1-47D3-B67F-A62EFF666E3E}">
          <x14:id>{C3C1C7A6-50BC-4840-BB33-44639032A3CA}</x14:id>
        </ext>
      </extLst>
    </cfRule>
  </conditionalFormatting>
  <conditionalFormatting sqref="B24:M24">
    <cfRule type="dataBar" priority="13">
      <dataBar>
        <cfvo type="min"/>
        <cfvo type="max"/>
        <color rgb="FF23727C"/>
      </dataBar>
      <extLst>
        <ext xmlns:x14="http://schemas.microsoft.com/office/spreadsheetml/2009/9/main" uri="{B025F937-C7B1-47D3-B67F-A62EFF666E3E}">
          <x14:id>{FDE0757C-8865-499E-8D1E-CBBC43CF8560}</x14:id>
        </ext>
      </extLst>
    </cfRule>
  </conditionalFormatting>
  <conditionalFormatting sqref="B25:M25">
    <cfRule type="dataBar" priority="14">
      <dataBar>
        <cfvo type="min"/>
        <cfvo type="max"/>
        <color rgb="FF23727C"/>
      </dataBar>
      <extLst>
        <ext xmlns:x14="http://schemas.microsoft.com/office/spreadsheetml/2009/9/main" uri="{B025F937-C7B1-47D3-B67F-A62EFF666E3E}">
          <x14:id>{1B213925-6C1F-4BFE-B2C7-C077BBE1203B}</x14:id>
        </ext>
      </extLst>
    </cfRule>
  </conditionalFormatting>
  <conditionalFormatting sqref="B26:M26">
    <cfRule type="dataBar" priority="15">
      <dataBar>
        <cfvo type="min"/>
        <cfvo type="max"/>
        <color rgb="FF23727C"/>
      </dataBar>
      <extLst>
        <ext xmlns:x14="http://schemas.microsoft.com/office/spreadsheetml/2009/9/main" uri="{B025F937-C7B1-47D3-B67F-A62EFF666E3E}">
          <x14:id>{A8BB4989-884F-4FBA-B6FC-7F36DD407A93}</x14:id>
        </ext>
      </extLst>
    </cfRule>
  </conditionalFormatting>
  <conditionalFormatting sqref="B27:M27">
    <cfRule type="dataBar" priority="16">
      <dataBar>
        <cfvo type="min"/>
        <cfvo type="max"/>
        <color rgb="FF23727C"/>
      </dataBar>
      <extLst>
        <ext xmlns:x14="http://schemas.microsoft.com/office/spreadsheetml/2009/9/main" uri="{B025F937-C7B1-47D3-B67F-A62EFF666E3E}">
          <x14:id>{90F19C76-5612-4AF6-9DB2-7734D5C149AA}</x14:id>
        </ext>
      </extLst>
    </cfRule>
  </conditionalFormatting>
  <conditionalFormatting sqref="B28:M28">
    <cfRule type="dataBar" priority="17">
      <dataBar>
        <cfvo type="min"/>
        <cfvo type="max"/>
        <color rgb="FF23727C"/>
      </dataBar>
      <extLst>
        <ext xmlns:x14="http://schemas.microsoft.com/office/spreadsheetml/2009/9/main" uri="{B025F937-C7B1-47D3-B67F-A62EFF666E3E}">
          <x14:id>{F4C9DC32-B812-497C-98A5-AFF05372F230}</x14:id>
        </ext>
      </extLst>
    </cfRule>
  </conditionalFormatting>
  <conditionalFormatting sqref="B31:M31">
    <cfRule type="dataBar" priority="18">
      <dataBar>
        <cfvo type="min"/>
        <cfvo type="max"/>
        <color rgb="FF23727C"/>
      </dataBar>
      <extLst>
        <ext xmlns:x14="http://schemas.microsoft.com/office/spreadsheetml/2009/9/main" uri="{B025F937-C7B1-47D3-B67F-A62EFF666E3E}">
          <x14:id>{97AA49D3-1F16-4AC7-A9FF-DD83FCF819F2}</x14:id>
        </ext>
      </extLst>
    </cfRule>
  </conditionalFormatting>
  <conditionalFormatting sqref="B32:M32">
    <cfRule type="dataBar" priority="19">
      <dataBar>
        <cfvo type="min"/>
        <cfvo type="max"/>
        <color rgb="FF23727C"/>
      </dataBar>
      <extLst>
        <ext xmlns:x14="http://schemas.microsoft.com/office/spreadsheetml/2009/9/main" uri="{B025F937-C7B1-47D3-B67F-A62EFF666E3E}">
          <x14:id>{C4F8B8CD-FDBA-4C90-96EB-122DC1183F2A}</x14:id>
        </ext>
      </extLst>
    </cfRule>
  </conditionalFormatting>
  <conditionalFormatting sqref="B35:M35">
    <cfRule type="dataBar" priority="20">
      <dataBar>
        <cfvo type="min"/>
        <cfvo type="max"/>
        <color rgb="FF23727C"/>
      </dataBar>
      <extLst>
        <ext xmlns:x14="http://schemas.microsoft.com/office/spreadsheetml/2009/9/main" uri="{B025F937-C7B1-47D3-B67F-A62EFF666E3E}">
          <x14:id>{502863A1-92A8-4825-AB21-EBA12CC250BD}</x14:id>
        </ext>
      </extLst>
    </cfRule>
  </conditionalFormatting>
  <conditionalFormatting sqref="B36:M36">
    <cfRule type="dataBar" priority="21">
      <dataBar>
        <cfvo type="min"/>
        <cfvo type="max"/>
        <color rgb="FF23727C"/>
      </dataBar>
      <extLst>
        <ext xmlns:x14="http://schemas.microsoft.com/office/spreadsheetml/2009/9/main" uri="{B025F937-C7B1-47D3-B67F-A62EFF666E3E}">
          <x14:id>{66521C85-DF11-4B5C-8C20-A69674435A8D}</x14:id>
        </ext>
      </extLst>
    </cfRule>
  </conditionalFormatting>
  <conditionalFormatting sqref="B37:M37">
    <cfRule type="dataBar" priority="22">
      <dataBar>
        <cfvo type="min"/>
        <cfvo type="max"/>
        <color rgb="FF23727C"/>
      </dataBar>
      <extLst>
        <ext xmlns:x14="http://schemas.microsoft.com/office/spreadsheetml/2009/9/main" uri="{B025F937-C7B1-47D3-B67F-A62EFF666E3E}">
          <x14:id>{FB00758F-552C-41D6-BCA0-83D082EDDE88}</x14:id>
        </ext>
      </extLst>
    </cfRule>
  </conditionalFormatting>
  <pageMargins left="0.3" right="0.3" top="0.3" bottom="0.3" header="0.511811023622047" footer="0.511811023622047"/>
  <pageSetup fitToHeight="0" orientation="landscape" horizontalDpi="300" verticalDpi="300"/>
  <legacyDrawing r:id="rId1"/>
  <extLst>
    <ext xmlns:x14="http://schemas.microsoft.com/office/spreadsheetml/2009/9/main" uri="{78C0D931-6437-407d-A8EE-F0AAD7539E65}">
      <x14:conditionalFormattings>
        <x14:conditionalFormatting xmlns:xm="http://schemas.microsoft.com/office/excel/2006/main">
          <x14:cfRule type="dataBar" id="{8840F677-5F59-43DF-ACC8-33BFF6548A69}">
            <x14:dataBar axisPosition="none">
              <x14:cfvo type="min"/>
              <x14:cfvo type="max"/>
              <x14:negativeFillColor rgb="FF23727C"/>
            </x14:dataBar>
          </x14:cfRule>
          <xm:sqref>B9:M9</xm:sqref>
        </x14:conditionalFormatting>
        <x14:conditionalFormatting xmlns:xm="http://schemas.microsoft.com/office/excel/2006/main">
          <x14:cfRule type="dataBar" id="{4EA8A1EA-5C10-4136-B838-4FD112DFB1EC}">
            <x14:dataBar axisPosition="none">
              <x14:cfvo type="min"/>
              <x14:cfvo type="max"/>
              <x14:negativeFillColor rgb="FF23727C"/>
            </x14:dataBar>
          </x14:cfRule>
          <xm:sqref>B10:M10</xm:sqref>
        </x14:conditionalFormatting>
        <x14:conditionalFormatting xmlns:xm="http://schemas.microsoft.com/office/excel/2006/main">
          <x14:cfRule type="dataBar" id="{597F1074-CBF0-4A2D-B2E2-88B5BD294799}">
            <x14:dataBar axisPosition="none">
              <x14:cfvo type="min"/>
              <x14:cfvo type="max"/>
              <x14:negativeFillColor rgb="FF23727C"/>
            </x14:dataBar>
          </x14:cfRule>
          <xm:sqref>B11:M11</xm:sqref>
        </x14:conditionalFormatting>
        <x14:conditionalFormatting xmlns:xm="http://schemas.microsoft.com/office/excel/2006/main">
          <x14:cfRule type="dataBar" id="{4A190067-4FF0-4438-9FF0-978B5D370091}">
            <x14:dataBar axisPosition="none">
              <x14:cfvo type="min"/>
              <x14:cfvo type="max"/>
              <x14:negativeFillColor rgb="FF23727C"/>
            </x14:dataBar>
          </x14:cfRule>
          <xm:sqref>B12:M12</xm:sqref>
        </x14:conditionalFormatting>
        <x14:conditionalFormatting xmlns:xm="http://schemas.microsoft.com/office/excel/2006/main">
          <x14:cfRule type="dataBar" id="{41BB602D-4BF6-4C65-8497-FD6F8FDB0083}">
            <x14:dataBar axisPosition="none">
              <x14:cfvo type="min"/>
              <x14:cfvo type="max"/>
              <x14:negativeFillColor rgb="FF23727C"/>
            </x14:dataBar>
          </x14:cfRule>
          <xm:sqref>B13:M13</xm:sqref>
        </x14:conditionalFormatting>
        <x14:conditionalFormatting xmlns:xm="http://schemas.microsoft.com/office/excel/2006/main">
          <x14:cfRule type="dataBar" id="{B33CB192-5B89-4C59-BAFC-3A6FCE2D5B75}">
            <x14:dataBar axisPosition="none">
              <x14:cfvo type="min"/>
              <x14:cfvo type="max"/>
              <x14:negativeFillColor rgb="FF23727C"/>
            </x14:dataBar>
          </x14:cfRule>
          <xm:sqref>B16:M16</xm:sqref>
        </x14:conditionalFormatting>
        <x14:conditionalFormatting xmlns:xm="http://schemas.microsoft.com/office/excel/2006/main">
          <x14:cfRule type="dataBar" id="{AECDA4C2-CCF0-4456-B33C-55A07540B671}">
            <x14:dataBar axisPosition="none">
              <x14:cfvo type="min"/>
              <x14:cfvo type="max"/>
              <x14:negativeFillColor rgb="FF23727C"/>
            </x14:dataBar>
          </x14:cfRule>
          <xm:sqref>B17:M17</xm:sqref>
        </x14:conditionalFormatting>
        <x14:conditionalFormatting xmlns:xm="http://schemas.microsoft.com/office/excel/2006/main">
          <x14:cfRule type="dataBar" id="{FAA3B879-E0A9-4345-A284-EF542D3FC012}">
            <x14:dataBar axisPosition="none">
              <x14:cfvo type="min"/>
              <x14:cfvo type="max"/>
              <x14:negativeFillColor rgb="FF23727C"/>
            </x14:dataBar>
          </x14:cfRule>
          <xm:sqref>B18:M18</xm:sqref>
        </x14:conditionalFormatting>
        <x14:conditionalFormatting xmlns:xm="http://schemas.microsoft.com/office/excel/2006/main">
          <x14:cfRule type="dataBar" id="{51A7D551-C4AE-4152-82EF-AF802589B08C}">
            <x14:dataBar axisPosition="none">
              <x14:cfvo type="min"/>
              <x14:cfvo type="max"/>
              <x14:negativeFillColor rgb="FF23727C"/>
            </x14:dataBar>
          </x14:cfRule>
          <xm:sqref>B19:M19</xm:sqref>
        </x14:conditionalFormatting>
        <x14:conditionalFormatting xmlns:xm="http://schemas.microsoft.com/office/excel/2006/main">
          <x14:cfRule type="dataBar" id="{DC8F53A5-C680-4FE0-AF7F-278E23C041FA}">
            <x14:dataBar axisPosition="none">
              <x14:cfvo type="min"/>
              <x14:cfvo type="max"/>
              <x14:negativeFillColor rgb="FF23727C"/>
            </x14:dataBar>
          </x14:cfRule>
          <xm:sqref>B20:M20</xm:sqref>
        </x14:conditionalFormatting>
        <x14:conditionalFormatting xmlns:xm="http://schemas.microsoft.com/office/excel/2006/main">
          <x14:cfRule type="dataBar" id="{C3C1C7A6-50BC-4840-BB33-44639032A3CA}">
            <x14:dataBar axisPosition="none">
              <x14:cfvo type="min"/>
              <x14:cfvo type="max"/>
              <x14:negativeFillColor rgb="FF23727C"/>
            </x14:dataBar>
          </x14:cfRule>
          <xm:sqref>B21:M21</xm:sqref>
        </x14:conditionalFormatting>
        <x14:conditionalFormatting xmlns:xm="http://schemas.microsoft.com/office/excel/2006/main">
          <x14:cfRule type="dataBar" id="{FDE0757C-8865-499E-8D1E-CBBC43CF8560}">
            <x14:dataBar axisPosition="none">
              <x14:cfvo type="min"/>
              <x14:cfvo type="max"/>
              <x14:negativeFillColor rgb="FF23727C"/>
            </x14:dataBar>
          </x14:cfRule>
          <xm:sqref>B24:M24</xm:sqref>
        </x14:conditionalFormatting>
        <x14:conditionalFormatting xmlns:xm="http://schemas.microsoft.com/office/excel/2006/main">
          <x14:cfRule type="dataBar" id="{1B213925-6C1F-4BFE-B2C7-C077BBE1203B}">
            <x14:dataBar axisPosition="none">
              <x14:cfvo type="min"/>
              <x14:cfvo type="max"/>
              <x14:negativeFillColor rgb="FF23727C"/>
            </x14:dataBar>
          </x14:cfRule>
          <xm:sqref>B25:M25</xm:sqref>
        </x14:conditionalFormatting>
        <x14:conditionalFormatting xmlns:xm="http://schemas.microsoft.com/office/excel/2006/main">
          <x14:cfRule type="dataBar" id="{A8BB4989-884F-4FBA-B6FC-7F36DD407A93}">
            <x14:dataBar axisPosition="none">
              <x14:cfvo type="min"/>
              <x14:cfvo type="max"/>
              <x14:negativeFillColor rgb="FF23727C"/>
            </x14:dataBar>
          </x14:cfRule>
          <xm:sqref>B26:M26</xm:sqref>
        </x14:conditionalFormatting>
        <x14:conditionalFormatting xmlns:xm="http://schemas.microsoft.com/office/excel/2006/main">
          <x14:cfRule type="dataBar" id="{90F19C76-5612-4AF6-9DB2-7734D5C149AA}">
            <x14:dataBar axisPosition="none">
              <x14:cfvo type="min"/>
              <x14:cfvo type="max"/>
              <x14:negativeFillColor rgb="FF23727C"/>
            </x14:dataBar>
          </x14:cfRule>
          <xm:sqref>B27:M27</xm:sqref>
        </x14:conditionalFormatting>
        <x14:conditionalFormatting xmlns:xm="http://schemas.microsoft.com/office/excel/2006/main">
          <x14:cfRule type="dataBar" id="{F4C9DC32-B812-497C-98A5-AFF05372F230}">
            <x14:dataBar axisPosition="none">
              <x14:cfvo type="min"/>
              <x14:cfvo type="max"/>
              <x14:negativeFillColor rgb="FF23727C"/>
            </x14:dataBar>
          </x14:cfRule>
          <xm:sqref>B28:M28</xm:sqref>
        </x14:conditionalFormatting>
        <x14:conditionalFormatting xmlns:xm="http://schemas.microsoft.com/office/excel/2006/main">
          <x14:cfRule type="dataBar" id="{97AA49D3-1F16-4AC7-A9FF-DD83FCF819F2}">
            <x14:dataBar axisPosition="none">
              <x14:cfvo type="min"/>
              <x14:cfvo type="max"/>
              <x14:negativeFillColor rgb="FF23727C"/>
            </x14:dataBar>
          </x14:cfRule>
          <xm:sqref>B31:M31</xm:sqref>
        </x14:conditionalFormatting>
        <x14:conditionalFormatting xmlns:xm="http://schemas.microsoft.com/office/excel/2006/main">
          <x14:cfRule type="dataBar" id="{C4F8B8CD-FDBA-4C90-96EB-122DC1183F2A}">
            <x14:dataBar axisPosition="none">
              <x14:cfvo type="min"/>
              <x14:cfvo type="max"/>
              <x14:negativeFillColor rgb="FF23727C"/>
            </x14:dataBar>
          </x14:cfRule>
          <xm:sqref>B32:M32</xm:sqref>
        </x14:conditionalFormatting>
        <x14:conditionalFormatting xmlns:xm="http://schemas.microsoft.com/office/excel/2006/main">
          <x14:cfRule type="dataBar" id="{502863A1-92A8-4825-AB21-EBA12CC250BD}">
            <x14:dataBar axisPosition="none">
              <x14:cfvo type="min"/>
              <x14:cfvo type="max"/>
              <x14:negativeFillColor rgb="FF23727C"/>
            </x14:dataBar>
          </x14:cfRule>
          <xm:sqref>B35:M35</xm:sqref>
        </x14:conditionalFormatting>
        <x14:conditionalFormatting xmlns:xm="http://schemas.microsoft.com/office/excel/2006/main">
          <x14:cfRule type="dataBar" id="{66521C85-DF11-4B5C-8C20-A69674435A8D}">
            <x14:dataBar axisPosition="none">
              <x14:cfvo type="min"/>
              <x14:cfvo type="max"/>
              <x14:negativeFillColor rgb="FF23727C"/>
            </x14:dataBar>
          </x14:cfRule>
          <xm:sqref>B36:M36</xm:sqref>
        </x14:conditionalFormatting>
        <x14:conditionalFormatting xmlns:xm="http://schemas.microsoft.com/office/excel/2006/main">
          <x14:cfRule type="dataBar" id="{FB00758F-552C-41D6-BCA0-83D082EDDE88}">
            <x14:dataBar axisPosition="none">
              <x14:cfvo type="min"/>
              <x14:cfvo type="max"/>
              <x14:negativeFillColor rgb="FF23727C"/>
            </x14:dataBar>
          </x14:cfRule>
          <xm:sqref>B37:M37</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C24"/>
  <sheetViews>
    <sheetView showGridLines="0" zoomScaleNormal="100" workbookViewId="0">
      <selection activeCell="I16" sqref="I16"/>
    </sheetView>
  </sheetViews>
  <sheetFormatPr defaultColWidth="8.6328125" defaultRowHeight="14.5" x14ac:dyDescent="0.35"/>
  <cols>
    <col min="1" max="1" width="2.453125" customWidth="1"/>
    <col min="2" max="2" width="92" customWidth="1"/>
    <col min="3" max="3" width="2.453125" customWidth="1"/>
  </cols>
  <sheetData>
    <row r="1" spans="1:3" ht="36" customHeight="1" x14ac:dyDescent="0.35">
      <c r="A1" s="9" t="s">
        <v>0</v>
      </c>
      <c r="B1" s="9"/>
      <c r="C1" s="9"/>
    </row>
    <row r="2" spans="1:3" ht="24" customHeight="1" x14ac:dyDescent="0.35">
      <c r="A2" s="13" t="s">
        <v>1</v>
      </c>
      <c r="B2" s="13"/>
      <c r="C2" s="13"/>
    </row>
    <row r="4" spans="1:3" ht="33.75" customHeight="1" x14ac:dyDescent="0.35">
      <c r="B4" s="15" t="s">
        <v>286</v>
      </c>
    </row>
    <row r="6" spans="1:3" ht="79.5" customHeight="1" x14ac:dyDescent="0.35">
      <c r="B6" s="17" t="s">
        <v>287</v>
      </c>
    </row>
    <row r="8" spans="1:3" ht="21" customHeight="1" x14ac:dyDescent="0.35">
      <c r="B8" s="17" t="s">
        <v>288</v>
      </c>
    </row>
    <row r="10" spans="1:3" ht="24" customHeight="1" x14ac:dyDescent="0.35">
      <c r="B10" s="18" t="s">
        <v>289</v>
      </c>
    </row>
    <row r="11" spans="1:3" ht="36.75" customHeight="1" x14ac:dyDescent="0.35">
      <c r="B11" s="19" t="s">
        <v>290</v>
      </c>
    </row>
    <row r="12" spans="1:3" ht="36.75" customHeight="1" x14ac:dyDescent="0.35">
      <c r="B12" s="19" t="s">
        <v>291</v>
      </c>
    </row>
    <row r="13" spans="1:3" ht="36.75" customHeight="1" x14ac:dyDescent="0.35">
      <c r="B13" s="19" t="s">
        <v>292</v>
      </c>
    </row>
    <row r="14" spans="1:3" ht="36.75" customHeight="1" x14ac:dyDescent="0.35">
      <c r="B14" s="19" t="s">
        <v>293</v>
      </c>
    </row>
    <row r="15" spans="1:3" ht="21" customHeight="1" x14ac:dyDescent="0.35">
      <c r="B15" s="19" t="s">
        <v>294</v>
      </c>
    </row>
    <row r="17" spans="1:3" ht="43.5" customHeight="1" x14ac:dyDescent="0.35">
      <c r="A17" s="90"/>
      <c r="B17" s="91" t="s">
        <v>295</v>
      </c>
      <c r="C17" s="92"/>
    </row>
    <row r="18" spans="1:3" ht="25.5" customHeight="1" x14ac:dyDescent="0.35">
      <c r="A18" s="93"/>
      <c r="B18" s="94" t="s">
        <v>296</v>
      </c>
      <c r="C18" s="95"/>
    </row>
    <row r="20" spans="1:3" ht="14.25" customHeight="1" x14ac:dyDescent="0.35">
      <c r="A20" s="25"/>
      <c r="B20" s="25"/>
      <c r="C20" s="25"/>
    </row>
    <row r="21" spans="1:3" ht="21.75" customHeight="1" x14ac:dyDescent="0.35">
      <c r="B21" s="26" t="s">
        <v>17</v>
      </c>
    </row>
    <row r="22" spans="1:3" ht="21" customHeight="1" x14ac:dyDescent="0.35">
      <c r="B22" s="27" t="s">
        <v>18</v>
      </c>
    </row>
    <row r="24" spans="1:3" ht="34.5" customHeight="1" x14ac:dyDescent="0.35">
      <c r="B24" s="96" t="s">
        <v>297</v>
      </c>
    </row>
  </sheetData>
  <sheetProtection sheet="1"/>
  <mergeCells count="2">
    <mergeCell ref="A1:C1"/>
    <mergeCell ref="A2:C2"/>
  </mergeCells>
  <pageMargins left="0.5" right="0.5" top="0.5" bottom="0.5" header="0.511811023622047" footer="0.511811023622047"/>
  <pageSetup fitToHeight="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15</vt:i4>
      </vt:variant>
    </vt:vector>
  </HeadingPairs>
  <TitlesOfParts>
    <vt:vector size="23" baseType="lpstr">
      <vt:lpstr>Welcome</vt:lpstr>
      <vt:lpstr>Monthly Inputs</vt:lpstr>
      <vt:lpstr>KPI Dashboard</vt:lpstr>
      <vt:lpstr>KPI Definitions</vt:lpstr>
      <vt:lpstr>Monthly Performance Summary</vt:lpstr>
      <vt:lpstr>KPI Targets</vt:lpstr>
      <vt:lpstr>KPI Data</vt:lpstr>
      <vt:lpstr>Need Help</vt:lpstr>
      <vt:lpstr>DaysInMonth</vt:lpstr>
      <vt:lpstr>'KPI Dashboard'!Print_Area</vt:lpstr>
      <vt:lpstr>'KPI Data'!Print_Area</vt:lpstr>
      <vt:lpstr>'KPI Definitions'!Print_Area</vt:lpstr>
      <vt:lpstr>'KPI Targets'!Print_Area</vt:lpstr>
      <vt:lpstr>'Monthly Inputs'!Print_Area</vt:lpstr>
      <vt:lpstr>'Monthly Performance Summary'!Print_Area</vt:lpstr>
      <vt:lpstr>'Need Help'!Print_Area</vt:lpstr>
      <vt:lpstr>Welcome!Print_Area</vt:lpstr>
      <vt:lpstr>'KPI Data'!Print_Titles</vt:lpstr>
      <vt:lpstr>'KPI Definitions'!Print_Titles</vt:lpstr>
      <vt:lpstr>'KPI Targets'!Print_Titles</vt:lpstr>
      <vt:lpstr>'Monthly Inputs'!Print_Titles</vt:lpstr>
      <vt:lpstr>ReportingMonth</vt:lpstr>
      <vt:lpstr>Tolerance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Physiotherapy Clinic Financial KPI Scorecard</dc:title>
  <dc:subject/>
  <dc:creator>Vertex Strategic Finance</dc:creator>
  <dc:description/>
  <cp:lastModifiedBy>Senthuran Selvanathan</cp:lastModifiedBy>
  <cp:revision>16</cp:revision>
  <dcterms:created xsi:type="dcterms:W3CDTF">2026-08-08T03:55:18Z</dcterms:created>
  <dcterms:modified xsi:type="dcterms:W3CDTF">2026-09-01T20:52:22Z</dcterms:modified>
  <dc:language>en-US</dc:language>
</cp:coreProperties>
</file>