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docs.live.net/c3d67ec76a37ead1/Desktop/Vertex Strategic Finance/Resources - Lead Magnets/"/>
    </mc:Choice>
  </mc:AlternateContent>
  <xr:revisionPtr revIDLastSave="0" documentId="8_{C2F26F64-B70F-48B2-85E8-4DE424FA1A36}" xr6:coauthVersionLast="47" xr6:coauthVersionMax="47" xr10:uidLastSave="{00000000-0000-0000-0000-000000000000}"/>
  <bookViews>
    <workbookView xWindow="28680" yWindow="-3945" windowWidth="51840" windowHeight="21120" tabRatio="500" xr2:uid="{00000000-000D-0000-FFFF-FFFF00000000}"/>
  </bookViews>
  <sheets>
    <sheet name="START HERE" sheetId="1" r:id="rId1"/>
    <sheet name="ASSUMPTIONS" sheetId="2" r:id="rId2"/>
    <sheet name="13-WEEK FORECAST" sheetId="3" r:id="rId3"/>
    <sheet name="CASH FLOW SUMMARY" sheetId="4" r:id="rId4"/>
    <sheet name="SCENARIO ANALYSIS" sheetId="5" r:id="rId5"/>
    <sheet name="EXECUTIVE DASHBOARD" sheetId="6" r:id="rId6"/>
  </sheets>
  <definedNames>
    <definedName name="_xlnm.Print_Area" localSheetId="2">'13-WEEK FORECAST'!$A$1:$N$80</definedName>
    <definedName name="_xlnm.Print_Area" localSheetId="1">ASSUMPTIONS!$A$1:$F$21</definedName>
    <definedName name="_xlnm.Print_Area" localSheetId="3">'CASH FLOW SUMMARY'!$A$1:$M$29</definedName>
    <definedName name="_xlnm.Print_Area" localSheetId="5">'EXECUTIVE DASHBOARD'!$A$1:$N$52</definedName>
    <definedName name="_xlnm.Print_Area" localSheetId="4">'SCENARIO ANALYSIS'!$A$1:$N$47</definedName>
    <definedName name="_xlnm.Print_Area" localSheetId="0">'START HERE'!$A$1:$I$58</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23" i="5" l="1"/>
  <c r="N17" i="5"/>
  <c r="M17" i="5"/>
  <c r="L17" i="5"/>
  <c r="K17" i="5"/>
  <c r="J17" i="5"/>
  <c r="I17" i="5"/>
  <c r="H17" i="5"/>
  <c r="G17" i="5"/>
  <c r="F17" i="5"/>
  <c r="E17" i="5"/>
  <c r="D17" i="5"/>
  <c r="C17" i="5"/>
  <c r="B17" i="5"/>
  <c r="N16" i="5"/>
  <c r="N18" i="5" s="1"/>
  <c r="M16" i="5"/>
  <c r="M18" i="5" s="1"/>
  <c r="L16" i="5"/>
  <c r="L18" i="5" s="1"/>
  <c r="K16" i="5"/>
  <c r="K18" i="5" s="1"/>
  <c r="J16" i="5"/>
  <c r="J18" i="5" s="1"/>
  <c r="I16" i="5"/>
  <c r="I18" i="5" s="1"/>
  <c r="H16" i="5"/>
  <c r="H18" i="5" s="1"/>
  <c r="G16" i="5"/>
  <c r="G18" i="5" s="1"/>
  <c r="F16" i="5"/>
  <c r="F18" i="5" s="1"/>
  <c r="E16" i="5"/>
  <c r="E18" i="5" s="1"/>
  <c r="D16" i="5"/>
  <c r="D18" i="5" s="1"/>
  <c r="C16" i="5"/>
  <c r="C18" i="5" s="1"/>
  <c r="B16" i="5"/>
  <c r="B18" i="5" s="1"/>
  <c r="C22" i="4"/>
  <c r="C21" i="4"/>
  <c r="C20" i="4"/>
  <c r="C19" i="4"/>
  <c r="C18" i="4"/>
  <c r="C8" i="4"/>
  <c r="N76" i="3"/>
  <c r="M76" i="3"/>
  <c r="L76" i="3"/>
  <c r="K76" i="3"/>
  <c r="J76" i="3"/>
  <c r="I76" i="3"/>
  <c r="H76" i="3"/>
  <c r="G76" i="3"/>
  <c r="F76" i="3"/>
  <c r="E76" i="3"/>
  <c r="D76" i="3"/>
  <c r="C76" i="3"/>
  <c r="B76" i="3"/>
  <c r="N65" i="3"/>
  <c r="C23" i="4" s="1"/>
  <c r="M65" i="3"/>
  <c r="L65" i="3"/>
  <c r="K65" i="3"/>
  <c r="J65" i="3"/>
  <c r="I65" i="3"/>
  <c r="H65" i="3"/>
  <c r="G65" i="3"/>
  <c r="F65" i="3"/>
  <c r="E65" i="3"/>
  <c r="D65" i="3"/>
  <c r="C65" i="3"/>
  <c r="B65" i="3"/>
  <c r="N57" i="3"/>
  <c r="M57" i="3"/>
  <c r="L57" i="3"/>
  <c r="K57" i="3"/>
  <c r="J57" i="3"/>
  <c r="I57" i="3"/>
  <c r="H57" i="3"/>
  <c r="G57" i="3"/>
  <c r="F57" i="3"/>
  <c r="E57" i="3"/>
  <c r="D57" i="3"/>
  <c r="C57" i="3"/>
  <c r="B57" i="3"/>
  <c r="N50" i="3"/>
  <c r="N20" i="5" s="1"/>
  <c r="M50" i="3"/>
  <c r="M20" i="5" s="1"/>
  <c r="L50" i="3"/>
  <c r="L20" i="5" s="1"/>
  <c r="K50" i="3"/>
  <c r="K20" i="5" s="1"/>
  <c r="J50" i="3"/>
  <c r="J20" i="5" s="1"/>
  <c r="I50" i="3"/>
  <c r="I20" i="5" s="1"/>
  <c r="H50" i="3"/>
  <c r="H20" i="5" s="1"/>
  <c r="G50" i="3"/>
  <c r="G20" i="5" s="1"/>
  <c r="F50" i="3"/>
  <c r="F20" i="5" s="1"/>
  <c r="E50" i="3"/>
  <c r="E20" i="5" s="1"/>
  <c r="D50" i="3"/>
  <c r="D20" i="5" s="1"/>
  <c r="C50" i="3"/>
  <c r="C20" i="5" s="1"/>
  <c r="B50" i="3"/>
  <c r="B20" i="5" s="1"/>
  <c r="N44" i="3"/>
  <c r="M44" i="3"/>
  <c r="L44" i="3"/>
  <c r="K44" i="3"/>
  <c r="J44" i="3"/>
  <c r="I44" i="3"/>
  <c r="H44" i="3"/>
  <c r="G44" i="3"/>
  <c r="F44" i="3"/>
  <c r="E44" i="3"/>
  <c r="D44" i="3"/>
  <c r="C44" i="3"/>
  <c r="B44" i="3"/>
  <c r="N38" i="3"/>
  <c r="M38" i="3"/>
  <c r="L38" i="3"/>
  <c r="K38" i="3"/>
  <c r="J38" i="3"/>
  <c r="I38" i="3"/>
  <c r="H38" i="3"/>
  <c r="G38" i="3"/>
  <c r="F38" i="3"/>
  <c r="E38" i="3"/>
  <c r="D38" i="3"/>
  <c r="C38" i="3"/>
  <c r="B38" i="3"/>
  <c r="N25" i="3"/>
  <c r="M25" i="3"/>
  <c r="L25" i="3"/>
  <c r="K25" i="3"/>
  <c r="J25" i="3"/>
  <c r="I25" i="3"/>
  <c r="H25" i="3"/>
  <c r="G25" i="3"/>
  <c r="F25" i="3"/>
  <c r="E25" i="3"/>
  <c r="D25" i="3"/>
  <c r="C25" i="3"/>
  <c r="B25" i="3"/>
  <c r="N17" i="3"/>
  <c r="M17" i="3"/>
  <c r="L17" i="3"/>
  <c r="K17" i="3"/>
  <c r="J17" i="3"/>
  <c r="I17" i="3"/>
  <c r="H17" i="3"/>
  <c r="G17" i="3"/>
  <c r="F17" i="3"/>
  <c r="E17" i="3"/>
  <c r="D17" i="3"/>
  <c r="C17" i="3"/>
  <c r="B17" i="3"/>
  <c r="B8" i="3"/>
  <c r="B70" i="3" s="1"/>
  <c r="B6" i="3"/>
  <c r="C24" i="4" l="1"/>
  <c r="D18" i="4"/>
  <c r="C46" i="6"/>
  <c r="N19" i="5"/>
  <c r="N21" i="5" s="1"/>
  <c r="N22" i="5" s="1"/>
  <c r="N67" i="3"/>
  <c r="M19" i="5"/>
  <c r="M21" i="5" s="1"/>
  <c r="M22" i="5" s="1"/>
  <c r="M67" i="3"/>
  <c r="L19" i="5"/>
  <c r="L21" i="5" s="1"/>
  <c r="L22" i="5" s="1"/>
  <c r="L67" i="3"/>
  <c r="K19" i="5"/>
  <c r="K21" i="5" s="1"/>
  <c r="K22" i="5" s="1"/>
  <c r="K67" i="3"/>
  <c r="J19" i="5"/>
  <c r="J21" i="5" s="1"/>
  <c r="J22" i="5" s="1"/>
  <c r="J67" i="3"/>
  <c r="I19" i="5"/>
  <c r="I21" i="5" s="1"/>
  <c r="I22" i="5" s="1"/>
  <c r="I67" i="3"/>
  <c r="H19" i="5"/>
  <c r="H21" i="5" s="1"/>
  <c r="H22" i="5" s="1"/>
  <c r="H67" i="3"/>
  <c r="G19" i="5"/>
  <c r="G21" i="5" s="1"/>
  <c r="G22" i="5" s="1"/>
  <c r="G67" i="3"/>
  <c r="F19" i="5"/>
  <c r="F21" i="5" s="1"/>
  <c r="F22" i="5" s="1"/>
  <c r="F67" i="3"/>
  <c r="E19" i="5"/>
  <c r="E21" i="5" s="1"/>
  <c r="E22" i="5" s="1"/>
  <c r="E67" i="3"/>
  <c r="D19" i="5"/>
  <c r="D21" i="5" s="1"/>
  <c r="D22" i="5" s="1"/>
  <c r="D67" i="3"/>
  <c r="C19" i="5"/>
  <c r="C21" i="5" s="1"/>
  <c r="C22" i="5" s="1"/>
  <c r="C67" i="3"/>
  <c r="B67" i="3"/>
  <c r="B19" i="5"/>
  <c r="B21" i="5" s="1"/>
  <c r="B22" i="5" s="1"/>
  <c r="B24" i="5" s="1"/>
  <c r="N71" i="3"/>
  <c r="N10" i="5"/>
  <c r="M10" i="5"/>
  <c r="M71" i="3"/>
  <c r="L10" i="5"/>
  <c r="L71" i="3"/>
  <c r="K10" i="5"/>
  <c r="K71" i="3"/>
  <c r="J10" i="5"/>
  <c r="J71" i="3"/>
  <c r="I10" i="5"/>
  <c r="I71" i="3"/>
  <c r="H71" i="3"/>
  <c r="H10" i="5"/>
  <c r="G10" i="5"/>
  <c r="G71" i="3"/>
  <c r="F10" i="5"/>
  <c r="F71" i="3"/>
  <c r="E71" i="3"/>
  <c r="E10" i="5"/>
  <c r="D10" i="5"/>
  <c r="D71" i="3"/>
  <c r="C71" i="3"/>
  <c r="C10" i="5"/>
  <c r="B71" i="3"/>
  <c r="B10" i="5"/>
  <c r="C11" i="4"/>
  <c r="B7" i="6"/>
  <c r="B6" i="5"/>
  <c r="C6" i="3"/>
  <c r="D23" i="4" l="1"/>
  <c r="D19" i="4"/>
  <c r="D20" i="4"/>
  <c r="D21" i="4"/>
  <c r="D22" i="4"/>
  <c r="B27" i="4"/>
  <c r="N72" i="3"/>
  <c r="N73" i="3" s="1"/>
  <c r="N11" i="5"/>
  <c r="N12" i="5" s="1"/>
  <c r="M72" i="3"/>
  <c r="M73" i="3" s="1"/>
  <c r="M11" i="5"/>
  <c r="M12" i="5" s="1"/>
  <c r="L72" i="3"/>
  <c r="L73" i="3" s="1"/>
  <c r="L11" i="5"/>
  <c r="L12" i="5" s="1"/>
  <c r="K72" i="3"/>
  <c r="K73" i="3" s="1"/>
  <c r="K11" i="5"/>
  <c r="K12" i="5" s="1"/>
  <c r="J72" i="3"/>
  <c r="J73" i="3" s="1"/>
  <c r="J11" i="5"/>
  <c r="J12" i="5" s="1"/>
  <c r="I72" i="3"/>
  <c r="I73" i="3" s="1"/>
  <c r="I11" i="5"/>
  <c r="I12" i="5" s="1"/>
  <c r="H72" i="3"/>
  <c r="H73" i="3" s="1"/>
  <c r="H11" i="5"/>
  <c r="H12" i="5" s="1"/>
  <c r="G72" i="3"/>
  <c r="G73" i="3" s="1"/>
  <c r="G11" i="5"/>
  <c r="G12" i="5" s="1"/>
  <c r="F72" i="3"/>
  <c r="F73" i="3" s="1"/>
  <c r="F11" i="5"/>
  <c r="F12" i="5" s="1"/>
  <c r="E72" i="3"/>
  <c r="E73" i="3" s="1"/>
  <c r="E11" i="5"/>
  <c r="E12" i="5" s="1"/>
  <c r="D72" i="3"/>
  <c r="D73" i="3" s="1"/>
  <c r="D11" i="5"/>
  <c r="D12" i="5" s="1"/>
  <c r="C72" i="3"/>
  <c r="C73" i="3" s="1"/>
  <c r="C11" i="5"/>
  <c r="C12" i="5" s="1"/>
  <c r="B72" i="3"/>
  <c r="B73" i="3" s="1"/>
  <c r="B74" i="3" s="1"/>
  <c r="B11" i="5"/>
  <c r="B12" i="5" s="1"/>
  <c r="C9" i="4"/>
  <c r="C10" i="4" s="1"/>
  <c r="C47" i="6"/>
  <c r="C23" i="5"/>
  <c r="C24" i="5" s="1"/>
  <c r="D23" i="5" s="1"/>
  <c r="D24" i="5" s="1"/>
  <c r="E23" i="5" s="1"/>
  <c r="E24" i="5" s="1"/>
  <c r="F23" i="5" s="1"/>
  <c r="F24" i="5" s="1"/>
  <c r="G23" i="5" s="1"/>
  <c r="G24" i="5" s="1"/>
  <c r="H23" i="5" s="1"/>
  <c r="H24" i="5" s="1"/>
  <c r="I23" i="5" s="1"/>
  <c r="I24" i="5" s="1"/>
  <c r="J23" i="5" s="1"/>
  <c r="J24" i="5" s="1"/>
  <c r="K23" i="5" s="1"/>
  <c r="K24" i="5" s="1"/>
  <c r="L23" i="5" s="1"/>
  <c r="L24" i="5" s="1"/>
  <c r="M23" i="5" s="1"/>
  <c r="M24" i="5" s="1"/>
  <c r="N23" i="5" s="1"/>
  <c r="N24" i="5" s="1"/>
  <c r="C28" i="5" s="1"/>
  <c r="C30" i="5"/>
  <c r="C29" i="5"/>
  <c r="C32" i="5"/>
  <c r="C31" i="5"/>
  <c r="B77" i="3"/>
  <c r="B78" i="3"/>
  <c r="B13" i="5"/>
  <c r="C8" i="3"/>
  <c r="C70" i="3" s="1"/>
  <c r="C74" i="3" s="1"/>
  <c r="D6" i="3"/>
  <c r="C6" i="5"/>
  <c r="C77" i="3" l="1"/>
  <c r="C78" i="3"/>
  <c r="C13" i="5"/>
  <c r="D8" i="3"/>
  <c r="D70" i="3" s="1"/>
  <c r="D74" i="3" s="1"/>
  <c r="E6" i="3"/>
  <c r="D6" i="5"/>
  <c r="D24" i="4"/>
  <c r="C45" i="6"/>
  <c r="J7" i="6"/>
  <c r="D77" i="3" l="1"/>
  <c r="D78" i="3"/>
  <c r="D13" i="5"/>
  <c r="E8" i="3"/>
  <c r="E70" i="3" s="1"/>
  <c r="E74" i="3" s="1"/>
  <c r="F6" i="3"/>
  <c r="E6" i="5"/>
  <c r="E77" i="3" l="1"/>
  <c r="E78" i="3"/>
  <c r="E13" i="5"/>
  <c r="F8" i="3"/>
  <c r="F70" i="3" s="1"/>
  <c r="F74" i="3" s="1"/>
  <c r="G6" i="3"/>
  <c r="F6" i="5"/>
  <c r="F77" i="3" l="1"/>
  <c r="F78" i="3"/>
  <c r="F13" i="5"/>
  <c r="G8" i="3"/>
  <c r="G70" i="3" s="1"/>
  <c r="G74" i="3" s="1"/>
  <c r="H6" i="3"/>
  <c r="G6" i="5"/>
  <c r="G77" i="3" l="1"/>
  <c r="G78" i="3"/>
  <c r="G13" i="5"/>
  <c r="H8" i="3"/>
  <c r="H70" i="3" s="1"/>
  <c r="H74" i="3" s="1"/>
  <c r="I6" i="3"/>
  <c r="H6" i="5"/>
  <c r="H77" i="3" l="1"/>
  <c r="H78" i="3"/>
  <c r="H13" i="5"/>
  <c r="I8" i="3"/>
  <c r="I70" i="3" s="1"/>
  <c r="I74" i="3" s="1"/>
  <c r="J6" i="3"/>
  <c r="I6" i="5"/>
  <c r="I77" i="3" l="1"/>
  <c r="I78" i="3"/>
  <c r="I13" i="5"/>
  <c r="J8" i="3"/>
  <c r="J70" i="3" s="1"/>
  <c r="J74" i="3" s="1"/>
  <c r="K6" i="3"/>
  <c r="J6" i="5"/>
  <c r="J77" i="3" l="1"/>
  <c r="J78" i="3"/>
  <c r="J13" i="5"/>
  <c r="K8" i="3"/>
  <c r="K70" i="3" s="1"/>
  <c r="K74" i="3" s="1"/>
  <c r="L6" i="3"/>
  <c r="K6" i="5"/>
  <c r="K77" i="3" l="1"/>
  <c r="K78" i="3"/>
  <c r="K13" i="5"/>
  <c r="L8" i="3"/>
  <c r="L70" i="3" s="1"/>
  <c r="L74" i="3" s="1"/>
  <c r="M6" i="3"/>
  <c r="L6" i="5"/>
  <c r="L77" i="3" l="1"/>
  <c r="L78" i="3"/>
  <c r="L13" i="5"/>
  <c r="M8" i="3"/>
  <c r="M70" i="3" s="1"/>
  <c r="M74" i="3" s="1"/>
  <c r="N6" i="3"/>
  <c r="M6" i="5"/>
  <c r="M77" i="3" l="1"/>
  <c r="M78" i="3"/>
  <c r="M13" i="5"/>
  <c r="N8" i="3"/>
  <c r="N70" i="3" s="1"/>
  <c r="N74" i="3" s="1"/>
  <c r="C20" i="2"/>
  <c r="I2" i="6"/>
  <c r="N6" i="5"/>
  <c r="C44" i="6" l="1"/>
  <c r="H8" i="6"/>
  <c r="C43" i="6"/>
  <c r="D13" i="4"/>
  <c r="F7" i="6"/>
  <c r="H7" i="6"/>
  <c r="L7" i="6"/>
  <c r="D14" i="4"/>
  <c r="C49" i="6"/>
  <c r="C14" i="4"/>
  <c r="C13" i="4"/>
  <c r="N77" i="3"/>
  <c r="N78" i="3"/>
  <c r="C12" i="4"/>
  <c r="N13" i="5"/>
  <c r="D7" i="6"/>
  <c r="B31" i="5" l="1"/>
  <c r="D31" i="5" s="1"/>
  <c r="B29" i="5"/>
  <c r="D29" i="5" s="1"/>
  <c r="B30" i="5"/>
  <c r="B32" i="5"/>
  <c r="D32" i="5" s="1"/>
  <c r="B28" i="5"/>
  <c r="D28" i="5" l="1"/>
  <c r="C48"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C10" authorId="0" shapeId="0" xr:uid="{00000000-0006-0000-0100-000001000000}">
      <text>
        <r>
          <rPr>
            <sz val="10"/>
            <rFont val="Arial"/>
            <family val="2"/>
          </rPr>
          <t>This is a user-defined figure. It is not an industry benchmark, a professional recommendation, or a required reserve level.</t>
        </r>
      </text>
    </comment>
    <comment ref="C15" authorId="0" shapeId="0" xr:uid="{00000000-0006-0000-0100-000002000000}">
      <text>
        <r>
          <rPr>
            <sz val="10"/>
            <rFont val="Arial"/>
            <family val="2"/>
          </rPr>
          <t>Percentage of forecast customer collections actually received in the downside case. Example: 90%.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Vertex Strategic Finance</author>
  </authors>
  <commentList>
    <comment ref="B8" authorId="0" shapeId="0" xr:uid="{00000000-0006-0000-0200-000001000000}">
      <text>
        <r>
          <rPr>
            <sz val="10"/>
            <rFont val="Arial"/>
            <family val="2"/>
          </rPr>
          <t>Week 1 pulls from the Beginning Cash Balance on the ASSUMPTIONS tab. Every later week equals the prior week's ending cash balance.</t>
        </r>
      </text>
    </comment>
  </commentList>
</comments>
</file>

<file path=xl/sharedStrings.xml><?xml version="1.0" encoding="utf-8"?>
<sst xmlns="http://schemas.openxmlformats.org/spreadsheetml/2006/main" count="267" uniqueCount="219">
  <si>
    <t>VERTEX STRATEGIC FINANCE</t>
  </si>
  <si>
    <t>13-Week Cash Flow Forecast</t>
  </si>
  <si>
    <t>A practical tool to help business owners understand where cash is going and anticipate potential cash needs before they happen.</t>
  </si>
  <si>
    <t>What This Tool Does</t>
  </si>
  <si>
    <t>A 13-week cash flow forecast provides a rolling, short-term view of expected cash receipts and payments.</t>
  </si>
  <si>
    <t>Unlike an income statement, which measures accounting profitability, this forecast focuses specifically on the timing of actual cash moving into and out of the business.</t>
  </si>
  <si>
    <t>It can help business owners anticipate periods where cash may become tight and make decisions earlier.</t>
  </si>
  <si>
    <t>How to Use It</t>
  </si>
  <si>
    <t>1.</t>
  </si>
  <si>
    <t>Enter your current cash balance.</t>
  </si>
  <si>
    <t>ASSUMPTIONS tab</t>
  </si>
  <si>
    <t>2.</t>
  </si>
  <si>
    <t>Enter expected weekly cash receipts.</t>
  </si>
  <si>
    <t>13-WEEK FORECAST tab</t>
  </si>
  <si>
    <t>3.</t>
  </si>
  <si>
    <t>Enter expected weekly cash payments.</t>
  </si>
  <si>
    <t>4.</t>
  </si>
  <si>
    <t>Review the projected ending cash balance.</t>
  </si>
  <si>
    <t>5.</t>
  </si>
  <si>
    <t>Update the forecast each week using the latest information.</t>
  </si>
  <si>
    <t>6.</t>
  </si>
  <si>
    <t>Review the Dashboard and Scenario Analysis to identify potential risks.</t>
  </si>
  <si>
    <t>BEST PRACTICE</t>
  </si>
  <si>
    <t>A 13-week cash flow forecast should be a living document. Update it regularly as actual collections, expenses, and business conditions change.</t>
  </si>
  <si>
    <t>Questions This Forecast Helps Answer</t>
  </si>
  <si>
    <t>—</t>
  </si>
  <si>
    <t>Will the business have enough cash to cover upcoming obligations?</t>
  </si>
  <si>
    <t>When is cash expected to be at its lowest point?</t>
  </si>
  <si>
    <t>Which weeks may require additional attention?</t>
  </si>
  <si>
    <t>How dependent is the business on customer collections?</t>
  </si>
  <si>
    <t>What happens if expected receipts arrive later or revenue is lower than planned?</t>
  </si>
  <si>
    <t>How much cash buffer does the business currently have?</t>
  </si>
  <si>
    <t>Are there large upcoming payments that could create temporary cash pressure?</t>
  </si>
  <si>
    <t>Reading the Workbook</t>
  </si>
  <si>
    <t>Input</t>
  </si>
  <si>
    <t>Shaded cells are yours to change. Type over the sample numbers with your own.</t>
  </si>
  <si>
    <t>Formula</t>
  </si>
  <si>
    <t>Unshaded cells calculate automatically. Sheets are protected without a password — use Review › Unprotect Sheet if you need to edit them.</t>
  </si>
  <si>
    <t>Keeping the Forecast Rolling</t>
  </si>
  <si>
    <t>At the end of each week:</t>
  </si>
  <si>
    <t>1.  Replace forecast amounts with actual results where appropriate.</t>
  </si>
  <si>
    <t>2.  Review changes in expected future receipts and payments.</t>
  </si>
  <si>
    <t>3.  Update the remaining weeks.</t>
  </si>
  <si>
    <t>4.  Extend the forecast by adding a new Week 13 if desired.</t>
  </si>
  <si>
    <t>To roll forward: move the Forecast Start Date on the ASSUMPTIONS tab ahead by one week, update the Beginning Cash Balance to your actual closing cash, then shift each row of amounts one column to the left and enter a new Week 13. All dates, totals, scenarios and charts update automatically. No macros are used anywhere in this file.</t>
  </si>
  <si>
    <t>Important</t>
  </si>
  <si>
    <t>This tool is provided for general informational purposes only and does not constitute accounting, tax, investment, financing, or financial advice. Cash flow requirements vary significantly based on business structure, industry, financing arrangements, payment terms, seasonality, and other factors.  All figures included in this workbook are FICTIONAL sample data created for illustration only and do not represent any real business, client, or individual.</t>
  </si>
  <si>
    <t>Vertex Strategic Finance</t>
  </si>
  <si>
    <t>CPA-Led Accounting &amp; Advisory for Owner-Led Businesses</t>
  </si>
  <si>
    <t>www.vertexstrategicfinance.ca    |    info@vertexstrategicfinance.ca</t>
  </si>
  <si>
    <t>Assumptions</t>
  </si>
  <si>
    <t>Enter your own numbers in the shaded cells. Everything else in this workbook updates from here.</t>
  </si>
  <si>
    <t>GENERAL ASSUMPTIONS</t>
  </si>
  <si>
    <t>Assumption</t>
  </si>
  <si>
    <t>Your Input</t>
  </si>
  <si>
    <t>Notes</t>
  </si>
  <si>
    <t>Forecast Start Date</t>
  </si>
  <si>
    <t>The Monday the forecast begins. Week-ending dates fill in automatically.</t>
  </si>
  <si>
    <t>Beginning Cash Balance</t>
  </si>
  <si>
    <t>Total cash in all bank accounts on the forecast start date.</t>
  </si>
  <si>
    <t>Minimum Desired Cash Balance</t>
  </si>
  <si>
    <t>YOUR choice of the lowest cash balance you are comfortable operating with. This is not a benchmark or a recommendation — set it to whatever suits your business.</t>
  </si>
  <si>
    <t>OPTIONAL SCENARIO ASSUMPTIONS  —  USER DEFINED</t>
  </si>
  <si>
    <t>These three inputs drive the Downside Case on the SCENARIO ANALYSIS tab. They are your assumptions — change them to reflect what a slower quarter would realistically look like for your business.</t>
  </si>
  <si>
    <t>What it means</t>
  </si>
  <si>
    <t>Downside Revenue / Collections %</t>
  </si>
  <si>
    <t>Example: 90% means only 90% of expected customer collections are received under the downside scenario.</t>
  </si>
  <si>
    <t>Collection Delay (weeks)</t>
  </si>
  <si>
    <t>Example: 1 means customer collections arrive one week later than forecast. Enter 0 for no delay.</t>
  </si>
  <si>
    <t>Expense Increase %</t>
  </si>
  <si>
    <t>Example: 105% means payroll, operating and supplier payments are 5% higher than the base forecast. Taxes, financing and investing payments are left unchanged.</t>
  </si>
  <si>
    <t>CALCULATED FROM YOUR INPUTS</t>
  </si>
  <si>
    <t>Forecast Period</t>
  </si>
  <si>
    <t>Sample Data Notice</t>
  </si>
  <si>
    <t>All amounts supplied with this workbook are FICTIONAL sample data for an illustrative owner-led Canadian service business. Replace them with your own figures.</t>
  </si>
  <si>
    <t>Sample data shown is FICTIONAL — replace with your own figures</t>
  </si>
  <si>
    <t>Shaded cells are for your input. All totals, balances and dates calculate automatically from the ASSUMPTIONS tab.</t>
  </si>
  <si>
    <t>Week</t>
  </si>
  <si>
    <t>Week 1</t>
  </si>
  <si>
    <t>Week 2</t>
  </si>
  <si>
    <t>Week 3</t>
  </si>
  <si>
    <t>Week 4</t>
  </si>
  <si>
    <t>Week 5</t>
  </si>
  <si>
    <t>Week 6</t>
  </si>
  <si>
    <t>Week 7</t>
  </si>
  <si>
    <t>Week 8</t>
  </si>
  <si>
    <t>Week 9</t>
  </si>
  <si>
    <t>Week 10</t>
  </si>
  <si>
    <t>Week 11</t>
  </si>
  <si>
    <t>Week 12</t>
  </si>
  <si>
    <t>Week 13</t>
  </si>
  <si>
    <t>Week Ending</t>
  </si>
  <si>
    <t>BEGINNING CASH BALANCE</t>
  </si>
  <si>
    <t>CASH RECEIPTS   —   money expected to come IN</t>
  </si>
  <si>
    <t>Customer Collections / Sales Receipts</t>
  </si>
  <si>
    <t>Other Operating Receipts</t>
  </si>
  <si>
    <t>Tax Refunds / Government Receipts</t>
  </si>
  <si>
    <t>Financing Proceeds</t>
  </si>
  <si>
    <t>Owner / Shareholder Contributions</t>
  </si>
  <si>
    <t>Other Cash Receipts</t>
  </si>
  <si>
    <t>TOTAL CASH RECEIPTS</t>
  </si>
  <si>
    <t>CASH PAYMENTS   —   money expected to go OUT</t>
  </si>
  <si>
    <t>PAYROLL &amp; PEOPLE</t>
  </si>
  <si>
    <t>Payroll / Wages</t>
  </si>
  <si>
    <t>Payroll Taxes / Remittances</t>
  </si>
  <si>
    <t>Employee Benefits</t>
  </si>
  <si>
    <t>Contractor Payments</t>
  </si>
  <si>
    <t>Total Payroll &amp; People</t>
  </si>
  <si>
    <t>OPERATING EXPENSES</t>
  </si>
  <si>
    <t>Rent / Occupancy</t>
  </si>
  <si>
    <t>Utilities</t>
  </si>
  <si>
    <t>Insurance</t>
  </si>
  <si>
    <t>Software / Subscriptions</t>
  </si>
  <si>
    <t>Marketing / Advertising</t>
  </si>
  <si>
    <t>Professional Fees</t>
  </si>
  <si>
    <t>Repairs &amp; Maintenance</t>
  </si>
  <si>
    <t>Office / Administrative</t>
  </si>
  <si>
    <t>Travel / Vehicle</t>
  </si>
  <si>
    <t>Other Operating Expenses</t>
  </si>
  <si>
    <t>Total Operating Expenses</t>
  </si>
  <si>
    <t>SUPPLIERS / COST OF SALES</t>
  </si>
  <si>
    <t>Inventory / Materials</t>
  </si>
  <si>
    <t>Supplier Payments</t>
  </si>
  <si>
    <t>Other Direct Costs</t>
  </si>
  <si>
    <t>Total Suppliers / Direct Costs</t>
  </si>
  <si>
    <t>TAXES</t>
  </si>
  <si>
    <t>GST/HST Remittances</t>
  </si>
  <si>
    <t>Corporate Income Tax Payments</t>
  </si>
  <si>
    <t>Other Tax Payments</t>
  </si>
  <si>
    <t>Total Tax Payments</t>
  </si>
  <si>
    <t>FINANCING</t>
  </si>
  <si>
    <t>Loan Principal Payments</t>
  </si>
  <si>
    <t>Interest Payments</t>
  </si>
  <si>
    <t>Line of Credit Payments</t>
  </si>
  <si>
    <t>Lease Payments</t>
  </si>
  <si>
    <t>Total Financing Payments</t>
  </si>
  <si>
    <t>INVESTING / OTHER</t>
  </si>
  <si>
    <t>Equipment Purchases</t>
  </si>
  <si>
    <t>Capital Expenditures</t>
  </si>
  <si>
    <t>Owner / Shareholder Withdrawals</t>
  </si>
  <si>
    <t>Dividends</t>
  </si>
  <si>
    <t>Other Cash Payments</t>
  </si>
  <si>
    <t>Total Investing / Other Payments</t>
  </si>
  <si>
    <t>TOTAL CASH PAYMENTS</t>
  </si>
  <si>
    <t>WEEKLY CASH CALCULATION</t>
  </si>
  <si>
    <t>Plus:  Total Cash Receipts</t>
  </si>
  <si>
    <t>Less:  Total Cash Payments</t>
  </si>
  <si>
    <t>NET CASH FLOW</t>
  </si>
  <si>
    <t>ENDING CASH BALANCE</t>
  </si>
  <si>
    <t>Minimum Desired Cash Balance (your input)</t>
  </si>
  <si>
    <t>Cash Above / (Below) Minimum</t>
  </si>
  <si>
    <t>Status</t>
  </si>
  <si>
    <t>Vertex Strategic Finance  |  All sample figures are fictional and for illustration only.  The minimum desired cash balance is user-defined and is not an industry benchmark or a professional recommendation.</t>
  </si>
  <si>
    <t>Cash Flow Summary</t>
  </si>
  <si>
    <t>13-week totals and where the cash is expected to go.  All figures update from the forecast.</t>
  </si>
  <si>
    <t>13-WEEK TOTALS</t>
  </si>
  <si>
    <t>Where the cash is expected to go — 13-week totals</t>
  </si>
  <si>
    <t>Measure</t>
  </si>
  <si>
    <t>Amount</t>
  </si>
  <si>
    <t>Total Cash Receipts</t>
  </si>
  <si>
    <t>Total Cash Payments</t>
  </si>
  <si>
    <t>Net Cash Flow</t>
  </si>
  <si>
    <t>Starting Cash</t>
  </si>
  <si>
    <t>Ending Cash (Week 13)</t>
  </si>
  <si>
    <t>Lowest Projected Cash Balance</t>
  </si>
  <si>
    <t>Highest Projected Cash Balance</t>
  </si>
  <si>
    <t>CASH OUTFLOW BREAKDOWN</t>
  </si>
  <si>
    <t>Category</t>
  </si>
  <si>
    <t>13-Week Total</t>
  </si>
  <si>
    <t>% of Payments</t>
  </si>
  <si>
    <t>Payroll &amp; People</t>
  </si>
  <si>
    <t>Operating Expenses</t>
  </si>
  <si>
    <t>Suppliers / Direct Costs</t>
  </si>
  <si>
    <t>Taxes</t>
  </si>
  <si>
    <t>Financing</t>
  </si>
  <si>
    <t>Investing / Other</t>
  </si>
  <si>
    <t>Tie-out check — summary vs. detailed forecast:</t>
  </si>
  <si>
    <t>Vertex Strategic Finance  |  All figures shown are fictional sample data for illustration only.  This workbook is provided for general information and does not constitute accounting, tax, financing or financial advice.</t>
  </si>
  <si>
    <t>Scenario Analysis</t>
  </si>
  <si>
    <t>What happens to cash if business does not go according to plan?  The downside case uses the three assumptions you set on the ASSUMPTIONS tab.</t>
  </si>
  <si>
    <t>Week no.</t>
  </si>
  <si>
    <t>BASE CASE   —   the forecast exactly as entered on the 13-WEEK FORECAST tab</t>
  </si>
  <si>
    <t>Ending Cash Balance</t>
  </si>
  <si>
    <t>DOWNSIDE CASE   —   lower collections, delayed collections, higher expenses</t>
  </si>
  <si>
    <t>Customer Collections (adjusted)</t>
  </si>
  <si>
    <t>All Other Cash Receipts (unchanged)</t>
  </si>
  <si>
    <t>Payroll, Operating &amp; Supplier (adjusted)</t>
  </si>
  <si>
    <t>Tax, Financing &amp; Investing (unchanged)</t>
  </si>
  <si>
    <t>SCENARIO COMPARISON</t>
  </si>
  <si>
    <t>Base Case</t>
  </si>
  <si>
    <t>Downside Case</t>
  </si>
  <si>
    <t>Difference</t>
  </si>
  <si>
    <t>Ending Cash Balance (Week 13)</t>
  </si>
  <si>
    <t>Lowest Cash Balance</t>
  </si>
  <si>
    <t>Week of Lowest Cash Balance</t>
  </si>
  <si>
    <t>Weeks Below Minimum Desired Cash</t>
  </si>
  <si>
    <t>Weeks With Negative Cash</t>
  </si>
  <si>
    <t>How the downside case works:  customer collections are multiplied by your Downside Collections %, then shifted later by your Collection Delay. Payroll, operating and supplier payments are multiplied by your Expense Increase %. Tax, financing and investing payments are left unchanged, as these amounts are often set by an agreement or a filing date rather than by trading conditions. All three assumptions are yours to set on the ASSUMPTIONS tab.</t>
  </si>
  <si>
    <t>Executive Dashboard</t>
  </si>
  <si>
    <t>Illustrative figures only — all sample data in this workbook is fictional.</t>
  </si>
  <si>
    <t>STARTING CASH</t>
  </si>
  <si>
    <t>PROJECTED ENDING CASH</t>
  </si>
  <si>
    <t>LOWEST PROJECTED CASH</t>
  </si>
  <si>
    <t>LOWEST CASH WEEK</t>
  </si>
  <si>
    <t>13-WEEK NET CASH FLOW</t>
  </si>
  <si>
    <t>WEEKS BELOW MINIMUM</t>
  </si>
  <si>
    <t>Cash available at Week 1</t>
  </si>
  <si>
    <t>Cash at the end of Week 13</t>
  </si>
  <si>
    <t>Lowest weekly ending balance</t>
  </si>
  <si>
    <t>Total receipts less payments</t>
  </si>
  <si>
    <t>Versus your chosen minimum</t>
  </si>
  <si>
    <t>1.  Projected Cash Balance</t>
  </si>
  <si>
    <t>2.  Weekly Cash Receipts vs. Payments</t>
  </si>
  <si>
    <t>3.  Cash Outflow by Category</t>
  </si>
  <si>
    <t>4.  Base Case vs. Downside Cash Position</t>
  </si>
  <si>
    <t>FINANCIAL PULSE</t>
  </si>
  <si>
    <t>▪</t>
  </si>
  <si>
    <t>Observations above are generated directly from the figures in this workbook. They are descriptive only and do not constitute accounting, tax, financing or financial advice. The minimum desired cash balance is a user-defined input, not a benchmark.</t>
  </si>
  <si>
    <t>Vertex Strategic Finance   |   www.vertexstrategicfinance.ca   |   info@vertexstrategicfinance.ca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</si>
</sst>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mmm\ d\,\ yyyy"/>
    <numFmt numFmtId="165" formatCode="\$#,##0;\(\$#,##0\);&quot;-&quot;"/>
    <numFmt numFmtId="166" formatCode="0&quot; week(s)&quot;"/>
    <numFmt numFmtId="167" formatCode="mmm\ d"/>
    <numFmt numFmtId="168" formatCode="0.0%"/>
    <numFmt numFmtId="170" formatCode="0&quot; of 13&quot;"/>
  </numFmts>
  <fonts count="57" x14ac:knownFonts="1">
    <font>
      <sz val="11"/>
      <color theme="1"/>
      <name val="Calibri"/>
      <family val="2"/>
      <charset val="1"/>
    </font>
    <font>
      <b/>
      <sz val="9"/>
      <color rgb="FF8FB8C9"/>
      <name val="Arial"/>
      <charset val="1"/>
    </font>
    <font>
      <b/>
      <sz val="26"/>
      <color rgb="FFFFFFFF"/>
      <name val="Arial"/>
      <charset val="1"/>
    </font>
    <font>
      <sz val="11"/>
      <color rgb="FFC7D9E2"/>
      <name val="Arial"/>
      <charset val="1"/>
    </font>
    <font>
      <b/>
      <sz val="12"/>
      <color rgb="FF083152"/>
      <name val="Arial"/>
      <charset val="1"/>
    </font>
    <font>
      <sz val="10.5"/>
      <color rgb="FF1A1A1A"/>
      <name val="Arial"/>
      <charset val="1"/>
    </font>
    <font>
      <b/>
      <sz val="10.5"/>
      <color rgb="FF23727C"/>
      <name val="Arial"/>
      <charset val="1"/>
    </font>
    <font>
      <i/>
      <sz val="8.5"/>
      <color rgb="FF6B7A85"/>
      <name val="Arial"/>
      <charset val="1"/>
    </font>
    <font>
      <b/>
      <sz val="9"/>
      <color rgb="FF23727C"/>
      <name val="Arial"/>
      <charset val="1"/>
    </font>
    <font>
      <sz val="10.5"/>
      <color rgb="FF083152"/>
      <name val="Arial"/>
      <charset val="1"/>
    </font>
    <font>
      <sz val="10.5"/>
      <color rgb="FF23727C"/>
      <name val="Arial"/>
      <charset val="1"/>
    </font>
    <font>
      <b/>
      <sz val="10"/>
      <color rgb="FF0B4A63"/>
      <name val="Arial"/>
      <charset val="1"/>
    </font>
    <font>
      <b/>
      <sz val="10"/>
      <color rgb="FF083152"/>
      <name val="Arial"/>
      <charset val="1"/>
    </font>
    <font>
      <b/>
      <sz val="10.5"/>
      <color rgb="FF083152"/>
      <name val="Arial"/>
      <charset val="1"/>
    </font>
    <font>
      <sz val="9.5"/>
      <color rgb="FF6B7A85"/>
      <name val="Arial"/>
      <charset val="1"/>
    </font>
    <font>
      <b/>
      <sz val="9"/>
      <color rgb="FF6B7A85"/>
      <name val="Arial"/>
      <charset val="1"/>
    </font>
    <font>
      <b/>
      <sz val="13"/>
      <color rgb="FFFFFFFF"/>
      <name val="Arial"/>
      <charset val="1"/>
    </font>
    <font>
      <sz val="10"/>
      <color rgb="FF9FBECF"/>
      <name val="Arial"/>
      <charset val="1"/>
    </font>
    <font>
      <sz val="10"/>
      <color rgb="FF6FB3BC"/>
      <name val="Arial"/>
      <charset val="1"/>
    </font>
    <font>
      <b/>
      <sz val="20"/>
      <color rgb="FFFFFFFF"/>
      <name val="Arial"/>
      <charset val="1"/>
    </font>
    <font>
      <sz val="10"/>
      <color rgb="FFC7D9E2"/>
      <name val="Arial"/>
      <charset val="1"/>
    </font>
    <font>
      <b/>
      <sz val="10.5"/>
      <color rgb="FFFFFFFF"/>
      <name val="Arial"/>
      <charset val="1"/>
    </font>
    <font>
      <b/>
      <sz val="9"/>
      <color rgb="FF083152"/>
      <name val="Arial"/>
      <charset val="1"/>
    </font>
    <font>
      <sz val="10"/>
      <color rgb="FF0B4A63"/>
      <name val="Arial"/>
      <charset val="1"/>
    </font>
    <font>
      <sz val="9"/>
      <color rgb="FF6B7A85"/>
      <name val="Arial"/>
      <charset val="1"/>
    </font>
    <font>
      <i/>
      <sz val="9.5"/>
      <color rgb="FF6B7A85"/>
      <name val="Arial"/>
      <charset val="1"/>
    </font>
    <font>
      <sz val="10"/>
      <name val="Arial"/>
      <family val="2"/>
    </font>
    <font>
      <b/>
      <sz val="8.5"/>
      <color rgb="FF8FB8C9"/>
      <name val="Arial"/>
      <charset val="1"/>
    </font>
    <font>
      <b/>
      <sz val="18"/>
      <color rgb="FFFFFFFF"/>
      <name val="Arial"/>
      <charset val="1"/>
    </font>
    <font>
      <i/>
      <sz val="9"/>
      <color rgb="FF9FBECF"/>
      <name val="Arial"/>
      <charset val="1"/>
    </font>
    <font>
      <sz val="9"/>
      <color rgb="FFC7D9E2"/>
      <name val="Arial"/>
      <charset val="1"/>
    </font>
    <font>
      <b/>
      <sz val="10"/>
      <color rgb="FFFFFFFF"/>
      <name val="Arial"/>
      <charset val="1"/>
    </font>
    <font>
      <sz val="9"/>
      <color rgb="FFDCEAEC"/>
      <name val="Arial"/>
      <charset val="1"/>
    </font>
    <font>
      <b/>
      <sz val="9"/>
      <color rgb="FFFFFFFF"/>
      <name val="Arial"/>
      <charset val="1"/>
    </font>
    <font>
      <sz val="10"/>
      <color rgb="FF1A1A1A"/>
      <name val="Arial"/>
      <charset val="1"/>
    </font>
    <font>
      <sz val="9.5"/>
      <color rgb="FF0B4A63"/>
      <name val="Arial"/>
      <charset val="1"/>
    </font>
    <font>
      <b/>
      <sz val="9.5"/>
      <color rgb="FF23727C"/>
      <name val="Arial"/>
      <charset val="1"/>
    </font>
    <font>
      <b/>
      <sz val="9.5"/>
      <color rgb="FF083152"/>
      <name val="Arial"/>
      <charset val="1"/>
    </font>
    <font>
      <sz val="9.5"/>
      <color rgb="FF1A1A1A"/>
      <name val="Arial"/>
      <charset val="1"/>
    </font>
    <font>
      <b/>
      <sz val="9.5"/>
      <color rgb="FF1A1A1A"/>
      <name val="Arial"/>
      <charset val="1"/>
    </font>
    <font>
      <b/>
      <sz val="8.5"/>
      <color rgb="FF1A1A1A"/>
      <name val="Arial"/>
      <charset val="1"/>
    </font>
    <font>
      <b/>
      <sz val="11"/>
      <color rgb="FF083152"/>
      <name val="Arial"/>
      <charset val="1"/>
    </font>
    <font>
      <sz val="9.5"/>
      <color rgb="FF23727C"/>
      <name val="Arial"/>
      <charset val="1"/>
    </font>
    <font>
      <b/>
      <sz val="11"/>
      <color rgb="FFFFFFFF"/>
      <name val="Arial"/>
      <charset val="1"/>
    </font>
    <font>
      <i/>
      <sz val="9"/>
      <color rgb="FF6B7A85"/>
      <name val="Arial"/>
      <charset val="1"/>
    </font>
    <font>
      <b/>
      <sz val="9.5"/>
      <color rgb="FF1E6B4F"/>
      <name val="Arial"/>
      <charset val="1"/>
    </font>
    <font>
      <sz val="8"/>
      <color rgb="FFC0C8CE"/>
      <name val="Arial"/>
      <charset val="1"/>
    </font>
    <font>
      <b/>
      <sz val="10"/>
      <color rgb="FF23727C"/>
      <name val="Arial"/>
      <charset val="1"/>
    </font>
    <font>
      <b/>
      <sz val="10"/>
      <color rgb="FF1A1A1A"/>
      <name val="Arial"/>
      <charset val="1"/>
    </font>
    <font>
      <sz val="10"/>
      <color rgb="FF083152"/>
      <name val="Arial"/>
      <charset val="1"/>
    </font>
    <font>
      <sz val="10"/>
      <color rgb="FF23727C"/>
      <name val="Arial"/>
      <charset val="1"/>
    </font>
    <font>
      <sz val="10"/>
      <color rgb="FF6B7A85"/>
      <name val="Arial"/>
      <charset val="1"/>
    </font>
    <font>
      <i/>
      <sz val="8.5"/>
      <color rgb="FF7FA3B5"/>
      <name val="Arial"/>
      <charset val="1"/>
    </font>
    <font>
      <b/>
      <sz val="7.5"/>
      <color rgb="FF6B7A85"/>
      <name val="Arial"/>
      <charset val="1"/>
    </font>
    <font>
      <b/>
      <sz val="15"/>
      <color rgb="FF083152"/>
      <name val="Arial"/>
      <charset val="1"/>
    </font>
    <font>
      <sz val="8"/>
      <color rgb="FF6B7A85"/>
      <name val="Arial"/>
      <charset val="1"/>
    </font>
    <font>
      <sz val="9"/>
      <color rgb="FF23727C"/>
      <name val="Arial"/>
      <charset val="1"/>
    </font>
  </fonts>
  <fills count="6">
    <fill>
      <patternFill patternType="none"/>
    </fill>
    <fill>
      <patternFill patternType="gray125"/>
    </fill>
    <fill>
      <patternFill patternType="solid">
        <fgColor rgb="FF083152"/>
        <bgColor rgb="FF0B4A63"/>
      </patternFill>
    </fill>
    <fill>
      <patternFill patternType="solid">
        <fgColor rgb="FFF4F6F8"/>
        <bgColor rgb="FFEDF4F5"/>
      </patternFill>
    </fill>
    <fill>
      <patternFill patternType="solid">
        <fgColor rgb="FFEDF4F5"/>
        <bgColor rgb="FFE8F3EF"/>
      </patternFill>
    </fill>
    <fill>
      <patternFill patternType="solid">
        <fgColor rgb="FF23727C"/>
        <bgColor rgb="FF1E6B4F"/>
      </patternFill>
    </fill>
  </fills>
  <borders count="25">
    <border>
      <left/>
      <right/>
      <top/>
      <bottom/>
      <diagonal/>
    </border>
    <border>
      <left/>
      <right/>
      <top/>
      <bottom style="medium">
        <color rgb="FF23727C"/>
      </bottom>
      <diagonal/>
    </border>
    <border>
      <left style="thick">
        <color rgb="FF23727C"/>
      </left>
      <right style="thin">
        <color rgb="FF23727C"/>
      </right>
      <top style="thin">
        <color rgb="FF23727C"/>
      </top>
      <bottom/>
      <diagonal/>
    </border>
    <border>
      <left style="thick">
        <color rgb="FF23727C"/>
      </left>
      <right style="thin">
        <color rgb="FF23727C"/>
      </right>
      <top/>
      <bottom/>
      <diagonal/>
    </border>
    <border>
      <left style="thick">
        <color rgb="FF23727C"/>
      </left>
      <right/>
      <top/>
      <bottom style="thin">
        <color rgb="FF23727C"/>
      </bottom>
      <diagonal/>
    </border>
    <border>
      <left/>
      <right/>
      <top/>
      <bottom style="thin">
        <color rgb="FF23727C"/>
      </bottom>
      <diagonal/>
    </border>
    <border>
      <left/>
      <right style="thin">
        <color rgb="FF23727C"/>
      </right>
      <top/>
      <bottom style="thin">
        <color rgb="FF23727C"/>
      </bottom>
      <diagonal/>
    </border>
    <border>
      <left style="thin">
        <color rgb="FF23727C"/>
      </left>
      <right style="thin">
        <color rgb="FF23727C"/>
      </right>
      <top style="thin">
        <color rgb="FF23727C"/>
      </top>
      <bottom style="thin">
        <color rgb="FF23727C"/>
      </bottom>
      <diagonal/>
    </border>
    <border>
      <left style="thin">
        <color rgb="FFD6DDE2"/>
      </left>
      <right style="thin">
        <color rgb="FFD6DDE2"/>
      </right>
      <top style="thin">
        <color rgb="FFD6DDE2"/>
      </top>
      <bottom/>
      <diagonal/>
    </border>
    <border>
      <left style="thin">
        <color rgb="FFD6DDE2"/>
      </left>
      <right style="thin">
        <color rgb="FFD6DDE2"/>
      </right>
      <top/>
      <bottom style="thin">
        <color rgb="FFD6DDE2"/>
      </bottom>
      <diagonal/>
    </border>
    <border>
      <left style="thin">
        <color rgb="FFD6DDE2"/>
      </left>
      <right/>
      <top/>
      <bottom style="thin">
        <color rgb="FF083152"/>
      </bottom>
      <diagonal/>
    </border>
    <border>
      <left/>
      <right/>
      <top/>
      <bottom style="thin">
        <color rgb="FF083152"/>
      </bottom>
      <diagonal/>
    </border>
    <border>
      <left/>
      <right style="thin">
        <color rgb="FFD6DDE2"/>
      </right>
      <top/>
      <bottom style="thin">
        <color rgb="FF083152"/>
      </bottom>
      <diagonal/>
    </border>
    <border>
      <left style="thin">
        <color rgb="FFD6DDE2"/>
      </left>
      <right/>
      <top/>
      <bottom/>
      <diagonal/>
    </border>
    <border>
      <left/>
      <right style="thin">
        <color rgb="FFD6DDE2"/>
      </right>
      <top/>
      <bottom/>
      <diagonal/>
    </border>
    <border>
      <left style="thin">
        <color rgb="FFD6DDE2"/>
      </left>
      <right/>
      <top/>
      <bottom style="thin">
        <color rgb="FFD6DDE2"/>
      </bottom>
      <diagonal/>
    </border>
    <border>
      <left style="thin">
        <color rgb="FF23727C"/>
      </left>
      <right style="thin">
        <color rgb="FF23727C"/>
      </right>
      <top style="thin">
        <color rgb="FF23727C"/>
      </top>
      <bottom style="thin">
        <color rgb="FFD6DDE2"/>
      </bottom>
      <diagonal/>
    </border>
    <border>
      <left/>
      <right/>
      <top/>
      <bottom style="thin">
        <color rgb="FFD6DDE2"/>
      </bottom>
      <diagonal/>
    </border>
    <border>
      <left/>
      <right style="thin">
        <color rgb="FFD6DDE2"/>
      </right>
      <top/>
      <bottom style="thin">
        <color rgb="FFD6DDE2"/>
      </bottom>
      <diagonal/>
    </border>
    <border>
      <left style="thin">
        <color rgb="FFD6DDE2"/>
      </left>
      <right style="thin">
        <color rgb="FFD6DDE2"/>
      </right>
      <top/>
      <bottom/>
      <diagonal/>
    </border>
    <border>
      <left/>
      <right/>
      <top style="thin">
        <color rgb="FF083152"/>
      </top>
      <bottom/>
      <diagonal/>
    </border>
    <border>
      <left/>
      <right/>
      <top style="medium">
        <color rgb="FF083152"/>
      </top>
      <bottom style="medium">
        <color rgb="FF083152"/>
      </bottom>
      <diagonal/>
    </border>
    <border>
      <left/>
      <right/>
      <top style="thin">
        <color rgb="FFD6DDE2"/>
      </top>
      <bottom/>
      <diagonal/>
    </border>
    <border>
      <left style="thin">
        <color rgb="FFD6DDE2"/>
      </left>
      <right/>
      <top style="thin">
        <color rgb="FFD6DDE2"/>
      </top>
      <bottom/>
      <diagonal/>
    </border>
    <border>
      <left/>
      <right style="thin">
        <color rgb="FFD6DDE2"/>
      </right>
      <top style="thin">
        <color rgb="FFD6DDE2"/>
      </top>
      <bottom/>
      <diagonal/>
    </border>
  </borders>
  <cellStyleXfs count="1">
    <xf numFmtId="0" fontId="0" fillId="0" borderId="0"/>
  </cellStyleXfs>
  <cellXfs count="134">
    <xf numFmtId="0" fontId="0" fillId="0" borderId="0" xfId="0"/>
    <xf numFmtId="0" fontId="14" fillId="0" borderId="0" xfId="0" applyFont="1" applyAlignment="1">
      <alignment horizontal="left" vertical="center" wrapText="1"/>
    </xf>
    <xf numFmtId="0" fontId="13" fillId="0" borderId="0" xfId="0" applyFont="1" applyAlignment="1">
      <alignment horizontal="left" vertical="center" wrapText="1"/>
    </xf>
    <xf numFmtId="0" fontId="5" fillId="0" borderId="0" xfId="0" applyFont="1" applyAlignment="1">
      <alignment horizontal="left" vertical="center" wrapText="1" indent="1"/>
    </xf>
    <xf numFmtId="0" fontId="12" fillId="0" borderId="0" xfId="0" applyFont="1" applyAlignment="1">
      <alignment horizontal="center" vertical="center"/>
    </xf>
    <xf numFmtId="0" fontId="5" fillId="0" borderId="0" xfId="0" applyFont="1" applyAlignment="1">
      <alignment horizontal="left" vertical="center" indent="1"/>
    </xf>
    <xf numFmtId="0" fontId="11" fillId="4" borderId="7" xfId="0" applyFont="1" applyFill="1" applyBorder="1" applyAlignment="1">
      <alignment horizontal="center" vertical="center"/>
    </xf>
    <xf numFmtId="0" fontId="9" fillId="3" borderId="3" xfId="0" applyFont="1" applyFill="1" applyBorder="1" applyAlignment="1">
      <alignment horizontal="left" vertical="center" wrapText="1" indent="1"/>
    </xf>
    <xf numFmtId="0" fontId="8" fillId="3" borderId="2" xfId="0" applyFont="1" applyFill="1" applyBorder="1" applyAlignment="1">
      <alignment horizontal="left" vertical="center" indent="1"/>
    </xf>
    <xf numFmtId="0" fontId="5" fillId="0" borderId="0" xfId="0" applyFont="1" applyAlignment="1">
      <alignment horizontal="left" vertical="center"/>
    </xf>
    <xf numFmtId="0" fontId="5" fillId="0" borderId="0" xfId="0" applyFont="1" applyAlignment="1">
      <alignment horizontal="left" vertical="center" wrapText="1"/>
    </xf>
    <xf numFmtId="0" fontId="4" fillId="0" borderId="1" xfId="0" applyFont="1" applyBorder="1" applyAlignment="1">
      <alignment horizontal="left"/>
    </xf>
    <xf numFmtId="0" fontId="3" fillId="2" borderId="0" xfId="0" applyFont="1" applyFill="1" applyAlignment="1">
      <alignment horizontal="left" vertical="center" wrapText="1"/>
    </xf>
    <xf numFmtId="0" fontId="2" fillId="2" borderId="0" xfId="0" applyFont="1" applyFill="1" applyAlignment="1">
      <alignment horizontal="left" vertical="center" wrapText="1"/>
    </xf>
    <xf numFmtId="0" fontId="1" fillId="2" borderId="0" xfId="0" applyFont="1" applyFill="1" applyAlignment="1">
      <alignment horizontal="left"/>
    </xf>
    <xf numFmtId="0" fontId="0" fillId="2" borderId="0" xfId="0" applyFill="1"/>
    <xf numFmtId="0" fontId="6" fillId="0" borderId="0" xfId="0" applyFont="1" applyAlignment="1">
      <alignment horizontal="right" vertical="center"/>
    </xf>
    <xf numFmtId="0" fontId="7" fillId="0" borderId="0" xfId="0" applyFont="1" applyAlignment="1">
      <alignment horizontal="right" vertical="center"/>
    </xf>
    <xf numFmtId="0" fontId="0" fillId="3" borderId="4" xfId="0" applyFill="1" applyBorder="1"/>
    <xf numFmtId="0" fontId="0" fillId="3" borderId="5" xfId="0" applyFill="1" applyBorder="1"/>
    <xf numFmtId="0" fontId="0" fillId="3" borderId="6" xfId="0" applyFill="1" applyBorder="1"/>
    <xf numFmtId="0" fontId="10" fillId="0" borderId="0" xfId="0" applyFont="1" applyAlignment="1">
      <alignment horizontal="right" vertical="center"/>
    </xf>
    <xf numFmtId="0" fontId="22" fillId="0" borderId="10" xfId="0" applyFont="1" applyBorder="1" applyAlignment="1">
      <alignment horizontal="left" vertical="center"/>
    </xf>
    <xf numFmtId="0" fontId="22" fillId="0" borderId="11" xfId="0" applyFont="1" applyBorder="1" applyAlignment="1">
      <alignment horizontal="right" vertical="center"/>
    </xf>
    <xf numFmtId="0" fontId="22" fillId="0" borderId="12" xfId="0" applyFont="1" applyBorder="1" applyAlignment="1">
      <alignment horizontal="left" vertical="center"/>
    </xf>
    <xf numFmtId="0" fontId="13" fillId="0" borderId="13" xfId="0" applyFont="1" applyBorder="1" applyAlignment="1">
      <alignment horizontal="left" vertical="center" indent="1"/>
    </xf>
    <xf numFmtId="164" fontId="23" fillId="4" borderId="7" xfId="0" applyNumberFormat="1" applyFont="1" applyFill="1" applyBorder="1" applyAlignment="1" applyProtection="1">
      <alignment horizontal="right" vertical="center"/>
      <protection locked="0"/>
    </xf>
    <xf numFmtId="0" fontId="24" fillId="0" borderId="14" xfId="0" applyFont="1" applyBorder="1" applyAlignment="1">
      <alignment horizontal="left" vertical="center" wrapText="1"/>
    </xf>
    <xf numFmtId="165" fontId="23" fillId="4" borderId="7" xfId="0" applyNumberFormat="1" applyFont="1" applyFill="1" applyBorder="1" applyAlignment="1" applyProtection="1">
      <alignment horizontal="right" vertical="center"/>
      <protection locked="0"/>
    </xf>
    <xf numFmtId="0" fontId="13" fillId="0" borderId="15" xfId="0" applyFont="1" applyBorder="1" applyAlignment="1">
      <alignment horizontal="left" vertical="center" indent="1"/>
    </xf>
    <xf numFmtId="165" fontId="23" fillId="4" borderId="16" xfId="0" applyNumberFormat="1" applyFont="1" applyFill="1" applyBorder="1" applyAlignment="1" applyProtection="1">
      <alignment horizontal="right" vertical="center"/>
      <protection locked="0"/>
    </xf>
    <xf numFmtId="0" fontId="0" fillId="0" borderId="17" xfId="0" applyBorder="1"/>
    <xf numFmtId="0" fontId="24" fillId="0" borderId="18" xfId="0" applyFont="1" applyBorder="1" applyAlignment="1">
      <alignment horizontal="left" vertical="center" wrapText="1"/>
    </xf>
    <xf numFmtId="9" fontId="23" fillId="4" borderId="7" xfId="0" applyNumberFormat="1" applyFont="1" applyFill="1" applyBorder="1" applyAlignment="1" applyProtection="1">
      <alignment horizontal="right" vertical="center"/>
      <protection locked="0"/>
    </xf>
    <xf numFmtId="166" fontId="23" fillId="4" borderId="7" xfId="0" applyNumberFormat="1" applyFont="1" applyFill="1" applyBorder="1" applyAlignment="1" applyProtection="1">
      <alignment horizontal="right" vertical="center"/>
      <protection locked="0"/>
    </xf>
    <xf numFmtId="9" fontId="23" fillId="4" borderId="16" xfId="0" applyNumberFormat="1" applyFont="1" applyFill="1" applyBorder="1" applyAlignment="1" applyProtection="1">
      <alignment horizontal="right" vertical="center"/>
      <protection locked="0"/>
    </xf>
    <xf numFmtId="0" fontId="31" fillId="5" borderId="0" xfId="0" applyFont="1" applyFill="1" applyAlignment="1">
      <alignment horizontal="left" vertical="center" indent="1"/>
    </xf>
    <xf numFmtId="0" fontId="31" fillId="5" borderId="0" xfId="0" applyFont="1" applyFill="1" applyAlignment="1">
      <alignment horizontal="center" vertical="center"/>
    </xf>
    <xf numFmtId="0" fontId="30" fillId="5" borderId="0" xfId="0" applyFont="1" applyFill="1" applyAlignment="1">
      <alignment horizontal="left" vertical="center" indent="1"/>
    </xf>
    <xf numFmtId="167" fontId="32" fillId="5" borderId="0" xfId="0" applyNumberFormat="1" applyFont="1" applyFill="1" applyAlignment="1">
      <alignment horizontal="center" vertical="center"/>
    </xf>
    <xf numFmtId="0" fontId="12" fillId="3" borderId="0" xfId="0" applyFont="1" applyFill="1" applyAlignment="1">
      <alignment horizontal="left" vertical="center" indent="1"/>
    </xf>
    <xf numFmtId="165" fontId="12" fillId="3" borderId="0" xfId="0" applyNumberFormat="1" applyFont="1" applyFill="1" applyAlignment="1">
      <alignment horizontal="right" vertical="center"/>
    </xf>
    <xf numFmtId="0" fontId="31" fillId="2" borderId="0" xfId="0" applyFont="1" applyFill="1" applyAlignment="1">
      <alignment horizontal="left" vertical="center" indent="1"/>
    </xf>
    <xf numFmtId="0" fontId="33" fillId="2" borderId="0" xfId="0" applyFont="1" applyFill="1"/>
    <xf numFmtId="0" fontId="34" fillId="0" borderId="0" xfId="0" applyFont="1" applyAlignment="1">
      <alignment horizontal="left" vertical="center" indent="2"/>
    </xf>
    <xf numFmtId="165" fontId="35" fillId="4" borderId="7" xfId="0" applyNumberFormat="1" applyFont="1" applyFill="1" applyBorder="1" applyAlignment="1" applyProtection="1">
      <alignment horizontal="right" vertical="center"/>
      <protection locked="0"/>
    </xf>
    <xf numFmtId="165" fontId="31" fillId="5" borderId="0" xfId="0" applyNumberFormat="1" applyFont="1" applyFill="1" applyAlignment="1">
      <alignment horizontal="right" vertical="center"/>
    </xf>
    <xf numFmtId="0" fontId="36" fillId="3" borderId="0" xfId="0" applyFont="1" applyFill="1" applyAlignment="1">
      <alignment horizontal="left" vertical="center" indent="1"/>
    </xf>
    <xf numFmtId="0" fontId="8" fillId="3" borderId="0" xfId="0" applyFont="1" applyFill="1"/>
    <xf numFmtId="0" fontId="37" fillId="0" borderId="20" xfId="0" applyFont="1" applyBorder="1" applyAlignment="1">
      <alignment horizontal="left" vertical="center" indent="2"/>
    </xf>
    <xf numFmtId="165" fontId="37" fillId="0" borderId="20" xfId="0" applyNumberFormat="1" applyFont="1" applyBorder="1" applyAlignment="1">
      <alignment horizontal="right" vertical="center"/>
    </xf>
    <xf numFmtId="165" fontId="38" fillId="0" borderId="0" xfId="0" applyNumberFormat="1" applyFont="1" applyAlignment="1">
      <alignment horizontal="right" vertical="center"/>
    </xf>
    <xf numFmtId="0" fontId="13" fillId="3" borderId="21" xfId="0" applyFont="1" applyFill="1" applyBorder="1" applyAlignment="1">
      <alignment horizontal="left" vertical="center" indent="1"/>
    </xf>
    <xf numFmtId="165" fontId="13" fillId="3" borderId="21" xfId="0" applyNumberFormat="1" applyFont="1" applyFill="1" applyBorder="1" applyAlignment="1">
      <alignment horizontal="right" vertical="center"/>
    </xf>
    <xf numFmtId="0" fontId="14" fillId="0" borderId="0" xfId="0" applyFont="1" applyAlignment="1">
      <alignment horizontal="left" vertical="center" indent="2"/>
    </xf>
    <xf numFmtId="165" fontId="14" fillId="0" borderId="0" xfId="0" applyNumberFormat="1" applyFont="1" applyAlignment="1">
      <alignment horizontal="right" vertical="center"/>
    </xf>
    <xf numFmtId="0" fontId="37" fillId="0" borderId="0" xfId="0" applyFont="1" applyAlignment="1">
      <alignment horizontal="left" vertical="center" indent="2"/>
    </xf>
    <xf numFmtId="165" fontId="39" fillId="0" borderId="0" xfId="0" applyNumberFormat="1" applyFont="1" applyAlignment="1">
      <alignment horizontal="right" vertical="center"/>
    </xf>
    <xf numFmtId="0" fontId="24" fillId="0" borderId="0" xfId="0" applyFont="1" applyAlignment="1">
      <alignment horizontal="left" vertical="center" indent="2"/>
    </xf>
    <xf numFmtId="0" fontId="40" fillId="0" borderId="0" xfId="0" applyFont="1" applyAlignment="1">
      <alignment horizontal="center" vertical="center"/>
    </xf>
    <xf numFmtId="0" fontId="21" fillId="5" borderId="0" xfId="0" applyFont="1" applyFill="1" applyAlignment="1">
      <alignment horizontal="left" vertical="center" indent="1"/>
    </xf>
    <xf numFmtId="0" fontId="13" fillId="0" borderId="0" xfId="0" applyFont="1"/>
    <xf numFmtId="0" fontId="22" fillId="0" borderId="11" xfId="0" applyFont="1" applyBorder="1" applyAlignment="1">
      <alignment horizontal="left" vertical="center"/>
    </xf>
    <xf numFmtId="0" fontId="5" fillId="0" borderId="17" xfId="0" applyFont="1" applyBorder="1" applyAlignment="1">
      <alignment horizontal="left" vertical="center" indent="1"/>
    </xf>
    <xf numFmtId="165" fontId="9" fillId="0" borderId="17" xfId="0" applyNumberFormat="1" applyFont="1" applyBorder="1" applyAlignment="1">
      <alignment horizontal="right" vertical="center"/>
    </xf>
    <xf numFmtId="0" fontId="13" fillId="3" borderId="17" xfId="0" applyFont="1" applyFill="1" applyBorder="1" applyAlignment="1">
      <alignment horizontal="left" vertical="center" indent="1"/>
    </xf>
    <xf numFmtId="165" fontId="41" fillId="3" borderId="17" xfId="0" applyNumberFormat="1" applyFont="1" applyFill="1" applyBorder="1" applyAlignment="1">
      <alignment horizontal="right" vertical="center"/>
    </xf>
    <xf numFmtId="0" fontId="0" fillId="3" borderId="17" xfId="0" applyFill="1" applyBorder="1"/>
    <xf numFmtId="0" fontId="42" fillId="0" borderId="17" xfId="0" applyFont="1" applyBorder="1" applyAlignment="1">
      <alignment horizontal="right" vertical="center"/>
    </xf>
    <xf numFmtId="165" fontId="5" fillId="0" borderId="17" xfId="0" applyNumberFormat="1" applyFont="1" applyBorder="1" applyAlignment="1">
      <alignment horizontal="right" vertical="center"/>
    </xf>
    <xf numFmtId="168" fontId="10" fillId="0" borderId="17" xfId="0" applyNumberFormat="1" applyFont="1" applyBorder="1" applyAlignment="1">
      <alignment horizontal="right" vertical="center"/>
    </xf>
    <xf numFmtId="165" fontId="43" fillId="5" borderId="0" xfId="0" applyNumberFormat="1" applyFont="1" applyFill="1" applyAlignment="1">
      <alignment horizontal="right" vertical="center"/>
    </xf>
    <xf numFmtId="168" fontId="43" fillId="5" borderId="0" xfId="0" applyNumberFormat="1" applyFont="1" applyFill="1" applyAlignment="1">
      <alignment horizontal="right" vertical="center"/>
    </xf>
    <xf numFmtId="0" fontId="46" fillId="0" borderId="0" xfId="0" applyFont="1" applyAlignment="1">
      <alignment horizontal="left" vertical="center" indent="1"/>
    </xf>
    <xf numFmtId="0" fontId="46" fillId="0" borderId="0" xfId="0" applyFont="1" applyAlignment="1">
      <alignment horizontal="center" vertical="center"/>
    </xf>
    <xf numFmtId="165" fontId="38" fillId="0" borderId="22" xfId="0" applyNumberFormat="1" applyFont="1" applyBorder="1" applyAlignment="1">
      <alignment horizontal="right" vertical="center"/>
    </xf>
    <xf numFmtId="0" fontId="22" fillId="0" borderId="11" xfId="0" applyFont="1" applyBorder="1" applyAlignment="1">
      <alignment horizontal="left" vertical="center" indent="1"/>
    </xf>
    <xf numFmtId="0" fontId="12" fillId="0" borderId="17" xfId="0" applyFont="1" applyBorder="1" applyAlignment="1">
      <alignment horizontal="left" vertical="center" indent="1"/>
    </xf>
    <xf numFmtId="165" fontId="12" fillId="0" borderId="17" xfId="0" applyNumberFormat="1" applyFont="1" applyBorder="1" applyAlignment="1">
      <alignment horizontal="right" vertical="center"/>
    </xf>
    <xf numFmtId="165" fontId="47" fillId="0" borderId="17" xfId="0" applyNumberFormat="1" applyFont="1" applyBorder="1" applyAlignment="1">
      <alignment horizontal="right" vertical="center"/>
    </xf>
    <xf numFmtId="165" fontId="48" fillId="0" borderId="17" xfId="0" applyNumberFormat="1" applyFont="1" applyBorder="1" applyAlignment="1">
      <alignment horizontal="right" vertical="center"/>
    </xf>
    <xf numFmtId="0" fontId="34" fillId="0" borderId="17" xfId="0" applyFont="1" applyBorder="1" applyAlignment="1">
      <alignment horizontal="left" vertical="center" indent="1"/>
    </xf>
    <xf numFmtId="165" fontId="49" fillId="0" borderId="17" xfId="0" applyNumberFormat="1" applyFont="1" applyBorder="1" applyAlignment="1">
      <alignment horizontal="right" vertical="center"/>
    </xf>
    <xf numFmtId="165" fontId="50" fillId="0" borderId="17" xfId="0" applyNumberFormat="1" applyFont="1" applyBorder="1" applyAlignment="1">
      <alignment horizontal="right" vertical="center"/>
    </xf>
    <xf numFmtId="165" fontId="34" fillId="0" borderId="17" xfId="0" applyNumberFormat="1" applyFont="1" applyBorder="1" applyAlignment="1">
      <alignment horizontal="right" vertical="center"/>
    </xf>
    <xf numFmtId="0" fontId="49" fillId="0" borderId="17" xfId="0" applyFont="1" applyBorder="1" applyAlignment="1">
      <alignment horizontal="right" vertical="center"/>
    </xf>
    <xf numFmtId="0" fontId="50" fillId="0" borderId="17" xfId="0" applyFont="1" applyBorder="1" applyAlignment="1">
      <alignment horizontal="right" vertical="center"/>
    </xf>
    <xf numFmtId="0" fontId="51" fillId="0" borderId="17" xfId="0" applyFont="1" applyBorder="1" applyAlignment="1">
      <alignment horizontal="right" vertical="center"/>
    </xf>
    <xf numFmtId="1" fontId="49" fillId="0" borderId="17" xfId="0" applyNumberFormat="1" applyFont="1" applyBorder="1" applyAlignment="1">
      <alignment horizontal="right" vertical="center"/>
    </xf>
    <xf numFmtId="1" fontId="50" fillId="0" borderId="17" xfId="0" applyNumberFormat="1" applyFont="1" applyBorder="1" applyAlignment="1">
      <alignment horizontal="right" vertical="center"/>
    </xf>
    <xf numFmtId="1" fontId="34" fillId="0" borderId="17" xfId="0" applyNumberFormat="1" applyFont="1" applyBorder="1" applyAlignment="1">
      <alignment horizontal="right" vertical="center"/>
    </xf>
    <xf numFmtId="0" fontId="0" fillId="2" borderId="23" xfId="0" applyFill="1" applyBorder="1"/>
    <xf numFmtId="0" fontId="0" fillId="2" borderId="24" xfId="0" applyFill="1" applyBorder="1"/>
    <xf numFmtId="0" fontId="0" fillId="5" borderId="23" xfId="0" applyFill="1" applyBorder="1"/>
    <xf numFmtId="0" fontId="0" fillId="5" borderId="24" xfId="0" applyFill="1" applyBorder="1"/>
    <xf numFmtId="0" fontId="56" fillId="3" borderId="13" xfId="0" applyFont="1" applyFill="1" applyBorder="1" applyAlignment="1">
      <alignment horizontal="right" vertical="center"/>
    </xf>
    <xf numFmtId="0" fontId="56" fillId="0" borderId="13" xfId="0" applyFont="1" applyBorder="1" applyAlignment="1">
      <alignment horizontal="right" vertical="center"/>
    </xf>
    <xf numFmtId="0" fontId="56" fillId="3" borderId="15" xfId="0" applyFont="1" applyFill="1" applyBorder="1" applyAlignment="1">
      <alignment horizontal="right" vertical="center"/>
    </xf>
    <xf numFmtId="0" fontId="15" fillId="3" borderId="8" xfId="0" applyFont="1" applyFill="1" applyBorder="1" applyAlignment="1">
      <alignment horizontal="left" vertical="center" indent="1"/>
    </xf>
    <xf numFmtId="0" fontId="14" fillId="3" borderId="9" xfId="0" applyFont="1" applyFill="1" applyBorder="1" applyAlignment="1">
      <alignment horizontal="left" vertical="center" wrapText="1" indent="1"/>
    </xf>
    <xf numFmtId="0" fontId="16" fillId="2" borderId="0" xfId="0" applyFont="1" applyFill="1" applyAlignment="1">
      <alignment horizontal="center" vertical="center" wrapText="1"/>
    </xf>
    <xf numFmtId="0" fontId="17" fillId="2" borderId="0" xfId="0" applyFont="1" applyFill="1" applyAlignment="1">
      <alignment horizontal="center" vertical="center" wrapText="1"/>
    </xf>
    <xf numFmtId="0" fontId="18" fillId="2" borderId="0" xfId="0" applyFont="1" applyFill="1" applyAlignment="1">
      <alignment horizontal="center" vertical="center" wrapText="1"/>
    </xf>
    <xf numFmtId="0" fontId="19" fillId="2" borderId="0" xfId="0" applyFont="1" applyFill="1" applyAlignment="1">
      <alignment horizontal="left" vertical="center"/>
    </xf>
    <xf numFmtId="0" fontId="20" fillId="2" borderId="0" xfId="0" applyFont="1" applyFill="1" applyAlignment="1">
      <alignment horizontal="left" vertical="center"/>
    </xf>
    <xf numFmtId="0" fontId="21" fillId="5" borderId="8" xfId="0" applyFont="1" applyFill="1" applyBorder="1" applyAlignment="1">
      <alignment horizontal="left" vertical="center" indent="1"/>
    </xf>
    <xf numFmtId="0" fontId="14" fillId="0" borderId="19" xfId="0" applyFont="1" applyBorder="1" applyAlignment="1">
      <alignment horizontal="left" vertical="center" wrapText="1" indent="1"/>
    </xf>
    <xf numFmtId="0" fontId="10" fillId="0" borderId="14" xfId="0" applyFont="1" applyBorder="1" applyAlignment="1">
      <alignment horizontal="left" vertical="center" indent="1"/>
    </xf>
    <xf numFmtId="0" fontId="25" fillId="0" borderId="18" xfId="0" applyFont="1" applyBorder="1" applyAlignment="1">
      <alignment horizontal="left" vertical="center" wrapText="1" indent="1"/>
    </xf>
    <xf numFmtId="0" fontId="27" fillId="2" borderId="0" xfId="0" applyFont="1" applyFill="1" applyAlignment="1">
      <alignment horizontal="left" vertical="center" indent="1"/>
    </xf>
    <xf numFmtId="0" fontId="28" fillId="2" borderId="0" xfId="0" applyFont="1" applyFill="1" applyAlignment="1">
      <alignment horizontal="left" vertical="center" indent="1"/>
    </xf>
    <xf numFmtId="0" fontId="29" fillId="2" borderId="0" xfId="0" applyFont="1" applyFill="1" applyAlignment="1">
      <alignment horizontal="right" vertical="center" indent="1"/>
    </xf>
    <xf numFmtId="0" fontId="30" fillId="2" borderId="0" xfId="0" applyFont="1" applyFill="1" applyAlignment="1">
      <alignment horizontal="left" vertical="center" indent="1"/>
    </xf>
    <xf numFmtId="0" fontId="7" fillId="0" borderId="0" xfId="0" applyFont="1" applyAlignment="1">
      <alignment horizontal="left" vertical="center" indent="1"/>
    </xf>
    <xf numFmtId="0" fontId="21" fillId="5" borderId="0" xfId="0" applyFont="1" applyFill="1" applyAlignment="1">
      <alignment horizontal="left" vertical="center" indent="1"/>
    </xf>
    <xf numFmtId="0" fontId="44" fillId="0" borderId="0" xfId="0" applyFont="1"/>
    <xf numFmtId="0" fontId="45" fillId="0" borderId="0" xfId="0" applyFont="1"/>
    <xf numFmtId="0" fontId="7" fillId="0" borderId="0" xfId="0" applyFont="1" applyAlignment="1">
      <alignment horizontal="left" vertical="center"/>
    </xf>
    <xf numFmtId="0" fontId="24" fillId="0" borderId="0" xfId="0" applyFont="1" applyAlignment="1">
      <alignment horizontal="left" vertical="top" wrapText="1" indent="1"/>
    </xf>
    <xf numFmtId="0" fontId="27" fillId="2" borderId="0" xfId="0" applyFont="1" applyFill="1" applyAlignment="1">
      <alignment horizontal="left"/>
    </xf>
    <xf numFmtId="0" fontId="17" fillId="2" borderId="0" xfId="0" applyFont="1" applyFill="1" applyAlignment="1">
      <alignment horizontal="right" vertical="center"/>
    </xf>
    <xf numFmtId="0" fontId="52" fillId="2" borderId="0" xfId="0" applyFont="1" applyFill="1" applyAlignment="1">
      <alignment horizontal="left" vertical="center"/>
    </xf>
    <xf numFmtId="0" fontId="53" fillId="3" borderId="19" xfId="0" applyFont="1" applyFill="1" applyBorder="1" applyAlignment="1">
      <alignment horizontal="left" vertical="center" indent="1"/>
    </xf>
    <xf numFmtId="165" fontId="54" fillId="3" borderId="19" xfId="0" applyNumberFormat="1" applyFont="1" applyFill="1" applyBorder="1" applyAlignment="1">
      <alignment horizontal="left" vertical="center" indent="1"/>
    </xf>
    <xf numFmtId="0" fontId="54" fillId="3" borderId="19" xfId="0" applyFont="1" applyFill="1" applyBorder="1" applyAlignment="1">
      <alignment horizontal="left" vertical="center" indent="1"/>
    </xf>
    <xf numFmtId="170" fontId="54" fillId="3" borderId="19" xfId="0" applyNumberFormat="1" applyFont="1" applyFill="1" applyBorder="1" applyAlignment="1">
      <alignment horizontal="left" vertical="center" indent="1"/>
    </xf>
    <xf numFmtId="0" fontId="55" fillId="3" borderId="9" xfId="0" applyFont="1" applyFill="1" applyBorder="1" applyAlignment="1">
      <alignment horizontal="left" vertical="center" wrapText="1" indent="1"/>
    </xf>
    <xf numFmtId="0" fontId="12" fillId="0" borderId="1" xfId="0" applyFont="1" applyBorder="1" applyAlignment="1">
      <alignment horizontal="left" vertical="center"/>
    </xf>
    <xf numFmtId="0" fontId="21" fillId="2" borderId="8" xfId="0" applyFont="1" applyFill="1" applyBorder="1" applyAlignment="1">
      <alignment horizontal="left" vertical="center" indent="1"/>
    </xf>
    <xf numFmtId="0" fontId="34" fillId="3" borderId="14" xfId="0" applyFont="1" applyFill="1" applyBorder="1" applyAlignment="1">
      <alignment horizontal="left" vertical="center"/>
    </xf>
    <xf numFmtId="0" fontId="34" fillId="0" borderId="14" xfId="0" applyFont="1" applyBorder="1" applyAlignment="1">
      <alignment horizontal="left" vertical="center"/>
    </xf>
    <xf numFmtId="0" fontId="34" fillId="3" borderId="18" xfId="0" applyFont="1" applyFill="1" applyBorder="1" applyAlignment="1">
      <alignment horizontal="left" vertical="center"/>
    </xf>
    <xf numFmtId="0" fontId="7" fillId="0" borderId="0" xfId="0" applyFont="1" applyAlignment="1">
      <alignment horizontal="left" vertical="center" wrapText="1"/>
    </xf>
    <xf numFmtId="0" fontId="22" fillId="0" borderId="0" xfId="0" applyFont="1" applyAlignment="1">
      <alignment horizontal="center" vertical="center"/>
    </xf>
  </cellXfs>
  <cellStyles count="1">
    <cellStyle name="Normal" xfId="0" builtinId="0"/>
  </cellStyles>
  <dxfs count="12">
    <dxf>
      <font>
        <b/>
        <sz val="10"/>
        <color rgb="FF9A6209"/>
        <name val="Arial"/>
        <charset val="1"/>
      </font>
      <fill>
        <patternFill>
          <bgColor rgb="FFFDF3E2"/>
        </patternFill>
      </fill>
    </dxf>
    <dxf>
      <font>
        <b/>
        <sz val="10"/>
        <color rgb="FFA32020"/>
        <name val="Arial"/>
        <charset val="1"/>
      </font>
      <fill>
        <patternFill>
          <bgColor rgb="FFFBE9E9"/>
        </patternFill>
      </fill>
    </dxf>
    <dxf>
      <font>
        <b/>
        <sz val="10"/>
        <color rgb="FF9A6209"/>
        <name val="Arial"/>
        <charset val="1"/>
      </font>
      <fill>
        <patternFill>
          <bgColor rgb="FFFDF3E2"/>
        </patternFill>
      </fill>
    </dxf>
    <dxf>
      <font>
        <b/>
        <sz val="10"/>
        <color rgb="FFA32020"/>
        <name val="Arial"/>
        <charset val="1"/>
      </font>
      <fill>
        <patternFill>
          <bgColor rgb="FFFBE9E9"/>
        </patternFill>
      </fill>
    </dxf>
    <dxf>
      <font>
        <b/>
        <sz val="8"/>
        <color rgb="FF1E6B4F"/>
        <name val="Arial"/>
        <charset val="1"/>
      </font>
      <fill>
        <patternFill>
          <bgColor rgb="FFE8F3EF"/>
        </patternFill>
      </fill>
    </dxf>
    <dxf>
      <font>
        <b/>
        <sz val="8"/>
        <color rgb="FF9A6209"/>
        <name val="Arial"/>
        <charset val="1"/>
      </font>
      <fill>
        <patternFill>
          <bgColor rgb="FFFDF3E2"/>
        </patternFill>
      </fill>
    </dxf>
    <dxf>
      <font>
        <b/>
        <sz val="8"/>
        <color rgb="FFA32020"/>
        <name val="Arial"/>
        <charset val="1"/>
      </font>
      <fill>
        <patternFill>
          <bgColor rgb="FFFBE9E9"/>
        </patternFill>
      </fill>
    </dxf>
    <dxf>
      <font>
        <b/>
        <sz val="9"/>
        <color rgb="FF1E6B4F"/>
        <name val="Arial"/>
        <charset val="1"/>
      </font>
    </dxf>
    <dxf>
      <font>
        <b/>
        <sz val="9"/>
        <color rgb="FFA32020"/>
        <name val="Arial"/>
        <charset val="1"/>
      </font>
    </dxf>
    <dxf>
      <font>
        <b/>
        <sz val="10"/>
        <color rgb="FF1E6B4F"/>
        <name val="Arial"/>
        <charset val="1"/>
      </font>
      <fill>
        <patternFill>
          <bgColor rgb="FFE8F3EF"/>
        </patternFill>
      </fill>
    </dxf>
    <dxf>
      <font>
        <b/>
        <sz val="10"/>
        <color rgb="FF9A6209"/>
        <name val="Arial"/>
        <charset val="1"/>
      </font>
      <fill>
        <patternFill>
          <bgColor rgb="FFFDF3E2"/>
        </patternFill>
      </fill>
    </dxf>
    <dxf>
      <font>
        <b/>
        <sz val="10"/>
        <color rgb="FFA32020"/>
        <name val="Arial"/>
        <charset val="1"/>
      </font>
      <fill>
        <patternFill>
          <bgColor rgb="FFFBE9E9"/>
        </patternFill>
      </fill>
    </dxf>
  </dxfs>
  <tableStyles count="0" defaultTableStyle="TableStyleMedium2" defaultPivotStyle="PivotStyleLight16"/>
  <colors>
    <indexedColors>
      <rgbColor rgb="FF000000"/>
      <rgbColor rgb="FFFFFFFF"/>
      <rgbColor rgb="FFFF0000"/>
      <rgbColor rgb="FF00FF00"/>
      <rgbColor rgb="FF0000FF"/>
      <rgbColor rgb="FFF4F6F8"/>
      <rgbColor rgb="FFFF00FF"/>
      <rgbColor rgb="FF00FFFF"/>
      <rgbColor rgb="FF800000"/>
      <rgbColor rgb="FF008000"/>
      <rgbColor rgb="FF000080"/>
      <rgbColor rgb="FF9A6209"/>
      <rgbColor rgb="FF800080"/>
      <rgbColor rgb="FF23727C"/>
      <rgbColor rgb="FFC0C8CE"/>
      <rgbColor rgb="FF878787"/>
      <rgbColor rgb="FF8FB8C9"/>
      <rgbColor rgb="FF993366"/>
      <rgbColor rgb="FFFDF3E2"/>
      <rgbColor rgb="FFE8F3EF"/>
      <rgbColor rgb="FF660066"/>
      <rgbColor rgb="FFFF8080"/>
      <rgbColor rgb="FF0066CC"/>
      <rgbColor rgb="FFC7D9E2"/>
      <rgbColor rgb="FF000080"/>
      <rgbColor rgb="FFFF00FF"/>
      <rgbColor rgb="FFFFFF00"/>
      <rgbColor rgb="FF00FFFF"/>
      <rgbColor rgb="FF800080"/>
      <rgbColor rgb="FF800000"/>
      <rgbColor rgb="FF1E6B4F"/>
      <rgbColor rgb="FF0000FF"/>
      <rgbColor rgb="FF00CCFF"/>
      <rgbColor rgb="FFDCEAEC"/>
      <rgbColor rgb="FFEDF4F5"/>
      <rgbColor rgb="FFFBE9E9"/>
      <rgbColor rgb="FF9FBECF"/>
      <rgbColor rgb="FFD6DDE2"/>
      <rgbColor rgb="FFAFC9CE"/>
      <rgbColor rgb="FFD9D9D9"/>
      <rgbColor rgb="FF4F81BD"/>
      <rgbColor rgb="FF6FB3BC"/>
      <rgbColor rgb="FF7FB1B8"/>
      <rgbColor rgb="FFD5DEE2"/>
      <rgbColor rgb="FFFF9900"/>
      <rgbColor rgb="FFFF6600"/>
      <rgbColor rgb="FF6B7A85"/>
      <rgbColor rgb="FF7FA3B5"/>
      <rgbColor rgb="FF083152"/>
      <rgbColor rgb="FF3F8F99"/>
      <rgbColor rgb="FF003300"/>
      <rgbColor rgb="FF333300"/>
      <rgbColor rgb="FFA32020"/>
      <rgbColor rgb="FF993366"/>
      <rgbColor rgb="FF0B4A63"/>
      <rgbColor rgb="FF1A1A1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bar"/>
        <c:grouping val="clustered"/>
        <c:varyColors val="0"/>
        <c:ser>
          <c:idx val="0"/>
          <c:order val="0"/>
          <c:spPr>
            <a:solidFill>
              <a:srgbClr val="23727C"/>
            </a:solidFill>
            <a:ln w="0">
              <a:noFill/>
            </a:ln>
          </c:spPr>
          <c:invertIfNegative val="0"/>
          <c:dLbls>
            <c:spPr>
              <a:noFill/>
              <a:ln>
                <a:noFill/>
              </a:ln>
              <a:effectLst/>
            </c:spPr>
            <c:txPr>
              <a:bodyPr wrap="square"/>
              <a:lstStyle/>
              <a:p>
                <a:pPr>
                  <a:defRPr sz="1000" b="0" strike="noStrike" spc="-1">
                    <a:solidFill>
                      <a:srgbClr val="000000"/>
                    </a:solidFill>
                    <a:latin typeface="Calibri"/>
                  </a:defRPr>
                </a:pPr>
                <a:endParaRPr lang="en-US"/>
              </a:p>
            </c:txPr>
            <c:dLblPos val="outEnd"/>
            <c:showLegendKey val="0"/>
            <c:showVal val="1"/>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'CASH FLOW SUMMARY'!$B$18:$B$23</c:f>
              <c:strCache>
                <c:ptCount val="6"/>
                <c:pt idx="0">
                  <c:v>Payroll &amp; People</c:v>
                </c:pt>
                <c:pt idx="1">
                  <c:v>Operating Expenses</c:v>
                </c:pt>
                <c:pt idx="2">
                  <c:v>Suppliers / Direct Costs</c:v>
                </c:pt>
                <c:pt idx="3">
                  <c:v>Taxes</c:v>
                </c:pt>
                <c:pt idx="4">
                  <c:v>Financing</c:v>
                </c:pt>
                <c:pt idx="5">
                  <c:v>Investing / Other</c:v>
                </c:pt>
              </c:strCache>
            </c:strRef>
          </c:cat>
          <c:val>
            <c:numRef>
              <c:f>'CASH FLOW SUMMARY'!$C$18:$C$23</c:f>
              <c:numCache>
                <c:formatCode>\$#,##0;\(\$#,##0\);"-"</c:formatCode>
                <c:ptCount val="6"/>
                <c:pt idx="0">
                  <c:v>258200</c:v>
                </c:pt>
                <c:pt idx="1">
                  <c:v>80680</c:v>
                </c:pt>
                <c:pt idx="2">
                  <c:v>49600</c:v>
                </c:pt>
                <c:pt idx="3">
                  <c:v>28100</c:v>
                </c:pt>
                <c:pt idx="4">
                  <c:v>22445</c:v>
                </c:pt>
                <c:pt idx="5">
                  <c:v>39000</c:v>
                </c:pt>
              </c:numCache>
            </c:numRef>
          </c:val>
          <c:extLst>
            <c:ext xmlns:c16="http://schemas.microsoft.com/office/drawing/2014/chart" uri="{C3380CC4-5D6E-409C-BE32-E72D297353CC}">
              <c16:uniqueId val="{00000000-09A3-49F7-B2FA-179E41A08A19}"/>
            </c:ext>
          </c:extLst>
        </c:ser>
        <c:dLbls>
          <c:showLegendKey val="0"/>
          <c:showVal val="0"/>
          <c:showCatName val="0"/>
          <c:showSerName val="0"/>
          <c:showPercent val="0"/>
          <c:showBubbleSize val="0"/>
        </c:dLbls>
        <c:gapWidth val="60"/>
        <c:axId val="31187345"/>
        <c:axId val="98007706"/>
      </c:barChart>
      <c:catAx>
        <c:axId val="31187345"/>
        <c:scaling>
          <c:orientation val="minMax"/>
        </c:scaling>
        <c:delete val="0"/>
        <c:axPos val="l"/>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8007706"/>
        <c:crosses val="autoZero"/>
        <c:auto val="1"/>
        <c:lblAlgn val="ctr"/>
        <c:lblOffset val="100"/>
        <c:noMultiLvlLbl val="0"/>
      </c:catAx>
      <c:valAx>
        <c:axId val="98007706"/>
        <c:scaling>
          <c:orientation val="minMax"/>
        </c:scaling>
        <c:delete val="0"/>
        <c:axPos val="b"/>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1187345"/>
        <c:crosses val="autoZero"/>
        <c:crossBetween val="between"/>
      </c:valAx>
      <c:spPr>
        <a:noFill/>
        <a:ln w="0">
          <a:noFill/>
        </a:ln>
      </c:spPr>
    </c:plotArea>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title>
      <c:tx>
        <c:rich>
          <a:bodyPr rot="0"/>
          <a:lstStyle/>
          <a:p>
            <a:pPr>
              <a:defRPr sz="1800" b="1" strike="noStrike" spc="-1">
                <a:solidFill>
                  <a:srgbClr val="000000"/>
                </a:solidFill>
                <a:latin typeface="Calibri"/>
              </a:defRPr>
            </a:pPr>
            <a:r>
              <a:rPr lang="en-US" sz="1800" b="1" strike="noStrike" spc="-1">
                <a:solidFill>
                  <a:srgbClr val="000000"/>
                </a:solidFill>
                <a:latin typeface="Calibri"/>
              </a:rPr>
              <a:t>Ending Cash Balance — Base Case vs. Downside Case</a:t>
            </a:r>
          </a:p>
        </c:rich>
      </c:tx>
      <c:overlay val="0"/>
      <c:spPr>
        <a:noFill/>
        <a:ln w="0">
          <a:noFill/>
        </a:ln>
      </c:spPr>
    </c:title>
    <c:autoTitleDeleted val="0"/>
    <c:plotArea>
      <c:layout/>
      <c:lineChart>
        <c:grouping val="standard"/>
        <c:varyColors val="0"/>
        <c:ser>
          <c:idx val="0"/>
          <c:order val="0"/>
          <c:tx>
            <c:v>Base Case</c:v>
          </c:tx>
          <c:spPr>
            <a:ln w="21960">
              <a:solidFill>
                <a:srgbClr val="083152"/>
              </a:solidFill>
              <a:round/>
            </a:ln>
          </c:spPr>
          <c:marker>
            <c:symbol val="circle"/>
            <c:size val="5"/>
            <c:spPr>
              <a:solidFill>
                <a:srgbClr val="083152"/>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ANALYSIS'!$B$5:$N$5</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'SCENARIO ANALYSIS'!$B$13:$N$13</c:f>
              <c:numCache>
                <c:formatCode>\$#,##0;\(\$#,##0\);"-"</c:formatCode>
                <c:ptCount val="13"/>
                <c:pt idx="0">
                  <c:v>157000</c:v>
                </c:pt>
                <c:pt idx="1">
                  <c:v>141755</c:v>
                </c:pt>
                <c:pt idx="2">
                  <c:v>169015</c:v>
                </c:pt>
                <c:pt idx="3">
                  <c:v>148825</c:v>
                </c:pt>
                <c:pt idx="4">
                  <c:v>169895</c:v>
                </c:pt>
                <c:pt idx="5">
                  <c:v>167210</c:v>
                </c:pt>
                <c:pt idx="6">
                  <c:v>148410</c:v>
                </c:pt>
                <c:pt idx="7">
                  <c:v>102810</c:v>
                </c:pt>
                <c:pt idx="8">
                  <c:v>125130</c:v>
                </c:pt>
                <c:pt idx="9">
                  <c:v>107975</c:v>
                </c:pt>
                <c:pt idx="10">
                  <c:v>119405</c:v>
                </c:pt>
                <c:pt idx="11">
                  <c:v>127875</c:v>
                </c:pt>
                <c:pt idx="12">
                  <c:v>154625</c:v>
                </c:pt>
              </c:numCache>
            </c:numRef>
          </c:val>
          <c:smooth val="0"/>
          <c:extLst>
            <c:ext xmlns:c16="http://schemas.microsoft.com/office/drawing/2014/chart" uri="{C3380CC4-5D6E-409C-BE32-E72D297353CC}">
              <c16:uniqueId val="{00000000-3709-4FBB-A79F-A9D9C2A38ABB}"/>
            </c:ext>
          </c:extLst>
        </c:ser>
        <c:ser>
          <c:idx val="1"/>
          <c:order val="1"/>
          <c:tx>
            <c:v>Downside Case</c:v>
          </c:tx>
          <c:spPr>
            <a:ln w="21960">
              <a:solidFill>
                <a:srgbClr val="23727C"/>
              </a:solidFill>
              <a:round/>
            </a:ln>
          </c:spPr>
          <c:marker>
            <c:symbol val="circle"/>
            <c:size val="5"/>
            <c:spPr>
              <a:solidFill>
                <a:srgbClr val="23727C"/>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ANALYSIS'!$B$5:$N$5</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'SCENARIO ANALYSIS'!$B$24:$N$24</c:f>
              <c:numCache>
                <c:formatCode>\$#,##0;\(\$#,##0\);"-"</c:formatCode>
                <c:ptCount val="13"/>
                <c:pt idx="0">
                  <c:v>116987.5</c:v>
                </c:pt>
                <c:pt idx="1">
                  <c:v>99949</c:v>
                </c:pt>
                <c:pt idx="2">
                  <c:v>111787</c:v>
                </c:pt>
                <c:pt idx="3">
                  <c:v>99362.5</c:v>
                </c:pt>
                <c:pt idx="4">
                  <c:v>104972</c:v>
                </c:pt>
                <c:pt idx="5">
                  <c:v>102981.5</c:v>
                </c:pt>
                <c:pt idx="6">
                  <c:v>87771.5</c:v>
                </c:pt>
                <c:pt idx="7">
                  <c:v>34846.5</c:v>
                </c:pt>
                <c:pt idx="8">
                  <c:v>51967</c:v>
                </c:pt>
                <c:pt idx="9">
                  <c:v>18823</c:v>
                </c:pt>
                <c:pt idx="10">
                  <c:v>29812</c:v>
                </c:pt>
                <c:pt idx="11">
                  <c:v>20930.5</c:v>
                </c:pt>
                <c:pt idx="12">
                  <c:v>52451</c:v>
                </c:pt>
              </c:numCache>
            </c:numRef>
          </c:val>
          <c:smooth val="0"/>
          <c:extLst>
            <c:ext xmlns:c16="http://schemas.microsoft.com/office/drawing/2014/chart" uri="{C3380CC4-5D6E-409C-BE32-E72D297353CC}">
              <c16:uniqueId val="{00000001-3709-4FBB-A79F-A9D9C2A38ABB}"/>
            </c:ext>
          </c:extLst>
        </c:ser>
        <c:dLbls>
          <c:showLegendKey val="0"/>
          <c:showVal val="0"/>
          <c:showCatName val="0"/>
          <c:showSerName val="0"/>
          <c:showPercent val="0"/>
          <c:showBubbleSize val="0"/>
        </c:dLbls>
        <c:hiLowLines>
          <c:spPr>
            <a:ln w="0">
              <a:noFill/>
            </a:ln>
          </c:spPr>
        </c:hiLowLines>
        <c:marker val="1"/>
        <c:smooth val="0"/>
        <c:axId val="78568926"/>
        <c:axId val="2533112"/>
      </c:lineChart>
      <c:catAx>
        <c:axId val="78568926"/>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2533112"/>
        <c:crosses val="autoZero"/>
        <c:auto val="1"/>
        <c:lblAlgn val="ctr"/>
        <c:lblOffset val="100"/>
        <c:noMultiLvlLbl val="0"/>
      </c:catAx>
      <c:valAx>
        <c:axId val="2533112"/>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8568926"/>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lineChart>
        <c:grouping val="standard"/>
        <c:varyColors val="0"/>
        <c:ser>
          <c:idx val="0"/>
          <c:order val="0"/>
          <c:tx>
            <c:v>Ending Cash Balance</c:v>
          </c:tx>
          <c:spPr>
            <a:ln w="24120">
              <a:solidFill>
                <a:srgbClr val="083152"/>
              </a:solidFill>
              <a:round/>
            </a:ln>
          </c:spPr>
          <c:marker>
            <c:symbol val="circle"/>
            <c:size val="5"/>
            <c:spPr>
              <a:solidFill>
                <a:srgbClr val="083152"/>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'13-WEEK FORECAST'!$B$5:$N$5</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'13-WEEK FORECAST'!$B$74:$N$74</c:f>
              <c:numCache>
                <c:formatCode>\$#,##0;\(\$#,##0\);"-"</c:formatCode>
                <c:ptCount val="13"/>
                <c:pt idx="0">
                  <c:v>157000</c:v>
                </c:pt>
                <c:pt idx="1">
                  <c:v>141755</c:v>
                </c:pt>
                <c:pt idx="2">
                  <c:v>169015</c:v>
                </c:pt>
                <c:pt idx="3">
                  <c:v>148825</c:v>
                </c:pt>
                <c:pt idx="4">
                  <c:v>169895</c:v>
                </c:pt>
                <c:pt idx="5">
                  <c:v>167210</c:v>
                </c:pt>
                <c:pt idx="6">
                  <c:v>148410</c:v>
                </c:pt>
                <c:pt idx="7">
                  <c:v>102810</c:v>
                </c:pt>
                <c:pt idx="8">
                  <c:v>125130</c:v>
                </c:pt>
                <c:pt idx="9">
                  <c:v>107975</c:v>
                </c:pt>
                <c:pt idx="10">
                  <c:v>119405</c:v>
                </c:pt>
                <c:pt idx="11">
                  <c:v>127875</c:v>
                </c:pt>
                <c:pt idx="12">
                  <c:v>154625</c:v>
                </c:pt>
              </c:numCache>
            </c:numRef>
          </c:val>
          <c:smooth val="0"/>
          <c:extLst>
            <c:ext xmlns:c16="http://schemas.microsoft.com/office/drawing/2014/chart" uri="{C3380CC4-5D6E-409C-BE32-E72D297353CC}">
              <c16:uniqueId val="{00000000-299C-4872-8075-B16A1AC63655}"/>
            </c:ext>
          </c:extLst>
        </c:ser>
        <c:ser>
          <c:idx val="1"/>
          <c:order val="1"/>
          <c:tx>
            <c:v>Your Minimum Desired Cash</c:v>
          </c:tx>
          <c:spPr>
            <a:ln w="14040">
              <a:solidFill>
                <a:srgbClr val="23727C"/>
              </a:solidFill>
              <a:prstDash val="dash"/>
              <a:round/>
            </a:ln>
          </c:spPr>
          <c:marker>
            <c:symbol val="none"/>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'13-WEEK FORECAST'!$B$5:$N$5</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'13-WEEK FORECAST'!$B$76:$N$76</c:f>
              <c:numCache>
                <c:formatCode>\$#,##0;\(\$#,##0\);"-"</c:formatCode>
                <c:ptCount val="13"/>
                <c:pt idx="0">
                  <c:v>120000</c:v>
                </c:pt>
                <c:pt idx="1">
                  <c:v>120000</c:v>
                </c:pt>
                <c:pt idx="2">
                  <c:v>120000</c:v>
                </c:pt>
                <c:pt idx="3">
                  <c:v>120000</c:v>
                </c:pt>
                <c:pt idx="4">
                  <c:v>120000</c:v>
                </c:pt>
                <c:pt idx="5">
                  <c:v>120000</c:v>
                </c:pt>
                <c:pt idx="6">
                  <c:v>120000</c:v>
                </c:pt>
                <c:pt idx="7">
                  <c:v>120000</c:v>
                </c:pt>
                <c:pt idx="8">
                  <c:v>120000</c:v>
                </c:pt>
                <c:pt idx="9">
                  <c:v>120000</c:v>
                </c:pt>
                <c:pt idx="10">
                  <c:v>120000</c:v>
                </c:pt>
                <c:pt idx="11">
                  <c:v>120000</c:v>
                </c:pt>
                <c:pt idx="12">
                  <c:v>120000</c:v>
                </c:pt>
              </c:numCache>
            </c:numRef>
          </c:val>
          <c:smooth val="0"/>
          <c:extLst>
            <c:ext xmlns:c16="http://schemas.microsoft.com/office/drawing/2014/chart" uri="{C3380CC4-5D6E-409C-BE32-E72D297353CC}">
              <c16:uniqueId val="{00000001-299C-4872-8075-B16A1AC63655}"/>
            </c:ext>
          </c:extLst>
        </c:ser>
        <c:dLbls>
          <c:showLegendKey val="0"/>
          <c:showVal val="0"/>
          <c:showCatName val="0"/>
          <c:showSerName val="0"/>
          <c:showPercent val="0"/>
          <c:showBubbleSize val="0"/>
        </c:dLbls>
        <c:hiLowLines>
          <c:spPr>
            <a:ln w="0">
              <a:noFill/>
            </a:ln>
          </c:spPr>
        </c:hiLowLines>
        <c:marker val="1"/>
        <c:smooth val="0"/>
        <c:axId val="92350353"/>
        <c:axId val="33626145"/>
      </c:lineChart>
      <c:catAx>
        <c:axId val="92350353"/>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33626145"/>
        <c:crosses val="autoZero"/>
        <c:auto val="1"/>
        <c:lblAlgn val="ctr"/>
        <c:lblOffset val="100"/>
        <c:noMultiLvlLbl val="0"/>
      </c:catAx>
      <c:valAx>
        <c:axId val="33626145"/>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92350353"/>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barChart>
        <c:barDir val="col"/>
        <c:grouping val="clustered"/>
        <c:varyColors val="0"/>
        <c:ser>
          <c:idx val="0"/>
          <c:order val="0"/>
          <c:tx>
            <c:v>Cash Receipts</c:v>
          </c:tx>
          <c:spPr>
            <a:solidFill>
              <a:srgbClr val="23727C"/>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'13-WEEK FORECAST'!$B$5:$N$5</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'13-WEEK FORECAST'!$B$17:$N$17</c:f>
              <c:numCache>
                <c:formatCode>\$#,##0;\(\$#,##0\);"-"</c:formatCode>
                <c:ptCount val="13"/>
                <c:pt idx="0">
                  <c:v>39000</c:v>
                </c:pt>
                <c:pt idx="1">
                  <c:v>34500</c:v>
                </c:pt>
                <c:pt idx="2">
                  <c:v>46700</c:v>
                </c:pt>
                <c:pt idx="3">
                  <c:v>31000</c:v>
                </c:pt>
                <c:pt idx="4">
                  <c:v>42500</c:v>
                </c:pt>
                <c:pt idx="5">
                  <c:v>40300</c:v>
                </c:pt>
                <c:pt idx="6">
                  <c:v>27000</c:v>
                </c:pt>
                <c:pt idx="7">
                  <c:v>30400</c:v>
                </c:pt>
                <c:pt idx="8">
                  <c:v>31500</c:v>
                </c:pt>
                <c:pt idx="9">
                  <c:v>41500</c:v>
                </c:pt>
                <c:pt idx="10">
                  <c:v>37250</c:v>
                </c:pt>
                <c:pt idx="11">
                  <c:v>50000</c:v>
                </c:pt>
                <c:pt idx="12">
                  <c:v>38500</c:v>
                </c:pt>
              </c:numCache>
            </c:numRef>
          </c:val>
          <c:extLst>
            <c:ext xmlns:c16="http://schemas.microsoft.com/office/drawing/2014/chart" uri="{C3380CC4-5D6E-409C-BE32-E72D297353CC}">
              <c16:uniqueId val="{00000000-E37F-4BBE-BA9A-BA8B7D5B374C}"/>
            </c:ext>
          </c:extLst>
        </c:ser>
        <c:ser>
          <c:idx val="1"/>
          <c:order val="1"/>
          <c:tx>
            <c:v>Cash Payments</c:v>
          </c:tx>
          <c:spPr>
            <a:solidFill>
              <a:srgbClr val="083152"/>
            </a:solidFill>
            <a:ln w="0">
              <a:noFill/>
            </a:ln>
          </c:spPr>
          <c:invertIfNegative val="0"/>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'13-WEEK FORECAST'!$B$5:$N$5</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'13-WEEK FORECAST'!$B$67:$N$67</c:f>
              <c:numCache>
                <c:formatCode>\$#,##0;\(\$#,##0\);"-"</c:formatCode>
                <c:ptCount val="13"/>
                <c:pt idx="0">
                  <c:v>24500</c:v>
                </c:pt>
                <c:pt idx="1">
                  <c:v>49745</c:v>
                </c:pt>
                <c:pt idx="2">
                  <c:v>19440</c:v>
                </c:pt>
                <c:pt idx="3">
                  <c:v>51190</c:v>
                </c:pt>
                <c:pt idx="4">
                  <c:v>21430</c:v>
                </c:pt>
                <c:pt idx="5">
                  <c:v>42985</c:v>
                </c:pt>
                <c:pt idx="6">
                  <c:v>45800</c:v>
                </c:pt>
                <c:pt idx="7">
                  <c:v>76000</c:v>
                </c:pt>
                <c:pt idx="8">
                  <c:v>9180</c:v>
                </c:pt>
                <c:pt idx="9">
                  <c:v>58655</c:v>
                </c:pt>
                <c:pt idx="10">
                  <c:v>25820</c:v>
                </c:pt>
                <c:pt idx="11">
                  <c:v>41530</c:v>
                </c:pt>
                <c:pt idx="12">
                  <c:v>11750</c:v>
                </c:pt>
              </c:numCache>
            </c:numRef>
          </c:val>
          <c:extLst>
            <c:ext xmlns:c16="http://schemas.microsoft.com/office/drawing/2014/chart" uri="{C3380CC4-5D6E-409C-BE32-E72D297353CC}">
              <c16:uniqueId val="{00000001-E37F-4BBE-BA9A-BA8B7D5B374C}"/>
            </c:ext>
          </c:extLst>
        </c:ser>
        <c:dLbls>
          <c:showLegendKey val="0"/>
          <c:showVal val="0"/>
          <c:showCatName val="0"/>
          <c:showSerName val="0"/>
          <c:showPercent val="0"/>
          <c:showBubbleSize val="0"/>
        </c:dLbls>
        <c:gapWidth val="55"/>
        <c:overlap val="-12"/>
        <c:axId val="77998548"/>
        <c:axId val="79009290"/>
      </c:barChart>
      <c:catAx>
        <c:axId val="77998548"/>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9009290"/>
        <c:crosses val="autoZero"/>
        <c:auto val="1"/>
        <c:lblAlgn val="ctr"/>
        <c:lblOffset val="100"/>
        <c:noMultiLvlLbl val="0"/>
      </c:catAx>
      <c:valAx>
        <c:axId val="7900929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77998548"/>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doughnutChart>
        <c:varyColors val="1"/>
        <c:ser>
          <c:idx val="0"/>
          <c:order val="0"/>
          <c:spPr>
            <a:solidFill>
              <a:srgbClr val="4F81BD"/>
            </a:solidFill>
            <a:ln w="0">
              <a:noFill/>
            </a:ln>
          </c:spPr>
          <c:dPt>
            <c:idx val="0"/>
            <c:bubble3D val="0"/>
            <c:spPr>
              <a:solidFill>
                <a:srgbClr val="083152"/>
              </a:solidFill>
              <a:ln w="11880">
                <a:solidFill>
                  <a:srgbClr val="FFFFFF"/>
                </a:solidFill>
                <a:round/>
              </a:ln>
            </c:spPr>
            <c:extLst>
              <c:ext xmlns:c16="http://schemas.microsoft.com/office/drawing/2014/chart" uri="{C3380CC4-5D6E-409C-BE32-E72D297353CC}">
                <c16:uniqueId val="{00000001-2226-42AC-8B4F-03FC893450FF}"/>
              </c:ext>
            </c:extLst>
          </c:dPt>
          <c:dPt>
            <c:idx val="1"/>
            <c:bubble3D val="0"/>
            <c:spPr>
              <a:solidFill>
                <a:srgbClr val="23727C"/>
              </a:solidFill>
              <a:ln w="11880">
                <a:solidFill>
                  <a:srgbClr val="FFFFFF"/>
                </a:solidFill>
                <a:round/>
              </a:ln>
            </c:spPr>
            <c:extLst>
              <c:ext xmlns:c16="http://schemas.microsoft.com/office/drawing/2014/chart" uri="{C3380CC4-5D6E-409C-BE32-E72D297353CC}">
                <c16:uniqueId val="{00000003-2226-42AC-8B4F-03FC893450FF}"/>
              </c:ext>
            </c:extLst>
          </c:dPt>
          <c:dPt>
            <c:idx val="2"/>
            <c:bubble3D val="0"/>
            <c:spPr>
              <a:solidFill>
                <a:srgbClr val="3F8F99"/>
              </a:solidFill>
              <a:ln w="11880">
                <a:solidFill>
                  <a:srgbClr val="FFFFFF"/>
                </a:solidFill>
                <a:round/>
              </a:ln>
            </c:spPr>
            <c:extLst>
              <c:ext xmlns:c16="http://schemas.microsoft.com/office/drawing/2014/chart" uri="{C3380CC4-5D6E-409C-BE32-E72D297353CC}">
                <c16:uniqueId val="{00000005-2226-42AC-8B4F-03FC893450FF}"/>
              </c:ext>
            </c:extLst>
          </c:dPt>
          <c:dPt>
            <c:idx val="3"/>
            <c:bubble3D val="0"/>
            <c:spPr>
              <a:solidFill>
                <a:srgbClr val="7FB1B8"/>
              </a:solidFill>
              <a:ln w="11880">
                <a:solidFill>
                  <a:srgbClr val="FFFFFF"/>
                </a:solidFill>
                <a:round/>
              </a:ln>
            </c:spPr>
            <c:extLst>
              <c:ext xmlns:c16="http://schemas.microsoft.com/office/drawing/2014/chart" uri="{C3380CC4-5D6E-409C-BE32-E72D297353CC}">
                <c16:uniqueId val="{00000007-2226-42AC-8B4F-03FC893450FF}"/>
              </c:ext>
            </c:extLst>
          </c:dPt>
          <c:dPt>
            <c:idx val="4"/>
            <c:bubble3D val="0"/>
            <c:spPr>
              <a:solidFill>
                <a:srgbClr val="AFC9CE"/>
              </a:solidFill>
              <a:ln w="11880">
                <a:solidFill>
                  <a:srgbClr val="FFFFFF"/>
                </a:solidFill>
                <a:round/>
              </a:ln>
            </c:spPr>
            <c:extLst>
              <c:ext xmlns:c16="http://schemas.microsoft.com/office/drawing/2014/chart" uri="{C3380CC4-5D6E-409C-BE32-E72D297353CC}">
                <c16:uniqueId val="{00000009-2226-42AC-8B4F-03FC893450FF}"/>
              </c:ext>
            </c:extLst>
          </c:dPt>
          <c:dPt>
            <c:idx val="5"/>
            <c:bubble3D val="0"/>
            <c:spPr>
              <a:solidFill>
                <a:srgbClr val="D5DEE2"/>
              </a:solidFill>
              <a:ln w="11880">
                <a:solidFill>
                  <a:srgbClr val="FFFFFF"/>
                </a:solidFill>
                <a:round/>
              </a:ln>
            </c:spPr>
            <c:extLst>
              <c:ext xmlns:c16="http://schemas.microsoft.com/office/drawing/2014/chart" uri="{C3380CC4-5D6E-409C-BE32-E72D297353CC}">
                <c16:uniqueId val="{0000000B-2226-42AC-8B4F-03FC893450FF}"/>
              </c:ext>
            </c:extLst>
          </c:dPt>
          <c:dLbls>
            <c:dLbl>
              <c:idx val="0"/>
              <c:spPr/>
              <c:txPr>
                <a:bodyPr wrap="square"/>
                <a:lstStyle/>
                <a:p>
                  <a:pPr>
                    <a:defRPr sz="1000" b="0" strike="noStrike" spc="-1">
                      <a:solidFill>
                        <a:srgbClr val="000000"/>
                      </a:solidFill>
                      <a:latin typeface="Calibri"/>
                    </a:defRPr>
                  </a:pPr>
                  <a:endParaRPr lang="en-US"/>
                </a:p>
              </c:txPr>
              <c:showLegendKey val="0"/>
              <c:showVal val="0"/>
              <c:showCatName val="0"/>
              <c:showSerName val="0"/>
              <c:showPercent val="1"/>
              <c:showBubbleSize val="1"/>
              <c:extLst>
                <c:ext xmlns:c16="http://schemas.microsoft.com/office/drawing/2014/chart" uri="{C3380CC4-5D6E-409C-BE32-E72D297353CC}">
                  <c16:uniqueId val="{00000001-2226-42AC-8B4F-03FC893450FF}"/>
                </c:ext>
              </c:extLst>
            </c:dLbl>
            <c:dLbl>
              <c:idx val="1"/>
              <c:spPr/>
              <c:txPr>
                <a:bodyPr wrap="square"/>
                <a:lstStyle/>
                <a:p>
                  <a:pPr>
                    <a:defRPr sz="1000" b="0" strike="noStrike" spc="-1">
                      <a:solidFill>
                        <a:srgbClr val="000000"/>
                      </a:solidFill>
                      <a:latin typeface="Calibri"/>
                    </a:defRPr>
                  </a:pPr>
                  <a:endParaRPr lang="en-US"/>
                </a:p>
              </c:txPr>
              <c:showLegendKey val="0"/>
              <c:showVal val="0"/>
              <c:showCatName val="0"/>
              <c:showSerName val="0"/>
              <c:showPercent val="1"/>
              <c:showBubbleSize val="1"/>
              <c:extLst>
                <c:ext xmlns:c16="http://schemas.microsoft.com/office/drawing/2014/chart" uri="{C3380CC4-5D6E-409C-BE32-E72D297353CC}">
                  <c16:uniqueId val="{00000003-2226-42AC-8B4F-03FC893450FF}"/>
                </c:ext>
              </c:extLst>
            </c:dLbl>
            <c:dLbl>
              <c:idx val="2"/>
              <c:spPr/>
              <c:txPr>
                <a:bodyPr wrap="square"/>
                <a:lstStyle/>
                <a:p>
                  <a:pPr>
                    <a:defRPr sz="1000" b="0" strike="noStrike" spc="-1">
                      <a:solidFill>
                        <a:srgbClr val="000000"/>
                      </a:solidFill>
                      <a:latin typeface="Calibri"/>
                    </a:defRPr>
                  </a:pPr>
                  <a:endParaRPr lang="en-US"/>
                </a:p>
              </c:txPr>
              <c:showLegendKey val="0"/>
              <c:showVal val="0"/>
              <c:showCatName val="0"/>
              <c:showSerName val="0"/>
              <c:showPercent val="1"/>
              <c:showBubbleSize val="1"/>
              <c:extLst>
                <c:ext xmlns:c16="http://schemas.microsoft.com/office/drawing/2014/chart" uri="{C3380CC4-5D6E-409C-BE32-E72D297353CC}">
                  <c16:uniqueId val="{00000005-2226-42AC-8B4F-03FC893450FF}"/>
                </c:ext>
              </c:extLst>
            </c:dLbl>
            <c:dLbl>
              <c:idx val="3"/>
              <c:spPr/>
              <c:txPr>
                <a:bodyPr wrap="square"/>
                <a:lstStyle/>
                <a:p>
                  <a:pPr>
                    <a:defRPr sz="1000" b="0" strike="noStrike" spc="-1">
                      <a:solidFill>
                        <a:srgbClr val="000000"/>
                      </a:solidFill>
                      <a:latin typeface="Calibri"/>
                    </a:defRPr>
                  </a:pPr>
                  <a:endParaRPr lang="en-US"/>
                </a:p>
              </c:txPr>
              <c:showLegendKey val="0"/>
              <c:showVal val="0"/>
              <c:showCatName val="0"/>
              <c:showSerName val="0"/>
              <c:showPercent val="1"/>
              <c:showBubbleSize val="1"/>
              <c:extLst>
                <c:ext xmlns:c16="http://schemas.microsoft.com/office/drawing/2014/chart" uri="{C3380CC4-5D6E-409C-BE32-E72D297353CC}">
                  <c16:uniqueId val="{00000007-2226-42AC-8B4F-03FC893450FF}"/>
                </c:ext>
              </c:extLst>
            </c:dLbl>
            <c:dLbl>
              <c:idx val="4"/>
              <c:spPr/>
              <c:txPr>
                <a:bodyPr wrap="square"/>
                <a:lstStyle/>
                <a:p>
                  <a:pPr>
                    <a:defRPr sz="1000" b="0" strike="noStrike" spc="-1">
                      <a:solidFill>
                        <a:srgbClr val="000000"/>
                      </a:solidFill>
                      <a:latin typeface="Calibri"/>
                    </a:defRPr>
                  </a:pPr>
                  <a:endParaRPr lang="en-US"/>
                </a:p>
              </c:txPr>
              <c:showLegendKey val="0"/>
              <c:showVal val="0"/>
              <c:showCatName val="0"/>
              <c:showSerName val="0"/>
              <c:showPercent val="1"/>
              <c:showBubbleSize val="1"/>
              <c:extLst>
                <c:ext xmlns:c16="http://schemas.microsoft.com/office/drawing/2014/chart" uri="{C3380CC4-5D6E-409C-BE32-E72D297353CC}">
                  <c16:uniqueId val="{00000009-2226-42AC-8B4F-03FC893450FF}"/>
                </c:ext>
              </c:extLst>
            </c:dLbl>
            <c:dLbl>
              <c:idx val="5"/>
              <c:spPr/>
              <c:txPr>
                <a:bodyPr wrap="square"/>
                <a:lstStyle/>
                <a:p>
                  <a:pPr>
                    <a:defRPr sz="1000" b="0" strike="noStrike" spc="-1">
                      <a:solidFill>
                        <a:srgbClr val="000000"/>
                      </a:solidFill>
                      <a:latin typeface="Calibri"/>
                    </a:defRPr>
                  </a:pPr>
                  <a:endParaRPr lang="en-US"/>
                </a:p>
              </c:txPr>
              <c:showLegendKey val="0"/>
              <c:showVal val="0"/>
              <c:showCatName val="0"/>
              <c:showSerName val="0"/>
              <c:showPercent val="1"/>
              <c:showBubbleSize val="1"/>
              <c:extLst>
                <c:ext xmlns:c16="http://schemas.microsoft.com/office/drawing/2014/chart" uri="{C3380CC4-5D6E-409C-BE32-E72D297353CC}">
                  <c16:uniqueId val="{0000000B-2226-42AC-8B4F-03FC893450FF}"/>
                </c:ext>
              </c:extLst>
            </c:dLbl>
            <c:spPr>
              <a:noFill/>
              <a:ln>
                <a:noFill/>
              </a:ln>
              <a:effectLst/>
            </c:spPr>
            <c:txPr>
              <a:bodyPr wrap="square"/>
              <a:lstStyle/>
              <a:p>
                <a:pPr>
                  <a:defRPr sz="1000" b="0" strike="noStrike" spc="-1">
                    <a:solidFill>
                      <a:srgbClr val="000000"/>
                    </a:solidFill>
                    <a:latin typeface="Calibri"/>
                  </a:defRPr>
                </a:pPr>
                <a:endParaRPr lang="en-US"/>
              </a:p>
            </c:txPr>
            <c:showLegendKey val="0"/>
            <c:showVal val="0"/>
            <c:showCatName val="0"/>
            <c:showSerName val="0"/>
            <c:showPercent val="1"/>
            <c:showBubbleSize val="1"/>
            <c:separator>
</c:separator>
            <c:showLeaderLines val="1"/>
            <c:extLst>
              <c:ext xmlns:c15="http://schemas.microsoft.com/office/drawing/2012/chart" uri="{CE6537A1-D6FC-4f65-9D91-7224C49458BB}"/>
            </c:extLst>
          </c:dLbls>
          <c:cat>
            <c:strRef>
              <c:f>'CASH FLOW SUMMARY'!$B$18:$B$23</c:f>
              <c:strCache>
                <c:ptCount val="6"/>
                <c:pt idx="0">
                  <c:v>Payroll &amp; People</c:v>
                </c:pt>
                <c:pt idx="1">
                  <c:v>Operating Expenses</c:v>
                </c:pt>
                <c:pt idx="2">
                  <c:v>Suppliers / Direct Costs</c:v>
                </c:pt>
                <c:pt idx="3">
                  <c:v>Taxes</c:v>
                </c:pt>
                <c:pt idx="4">
                  <c:v>Financing</c:v>
                </c:pt>
                <c:pt idx="5">
                  <c:v>Investing / Other</c:v>
                </c:pt>
              </c:strCache>
            </c:strRef>
          </c:cat>
          <c:val>
            <c:numRef>
              <c:f>'CASH FLOW SUMMARY'!$C$18:$C$23</c:f>
              <c:numCache>
                <c:formatCode>\$#,##0;\(\$#,##0\);"-"</c:formatCode>
                <c:ptCount val="6"/>
                <c:pt idx="0">
                  <c:v>258200</c:v>
                </c:pt>
                <c:pt idx="1">
                  <c:v>80680</c:v>
                </c:pt>
                <c:pt idx="2">
                  <c:v>49600</c:v>
                </c:pt>
                <c:pt idx="3">
                  <c:v>28100</c:v>
                </c:pt>
                <c:pt idx="4">
                  <c:v>22445</c:v>
                </c:pt>
                <c:pt idx="5">
                  <c:v>39000</c:v>
                </c:pt>
              </c:numCache>
            </c:numRef>
          </c:val>
          <c:extLst>
            <c:ext xmlns:c16="http://schemas.microsoft.com/office/drawing/2014/chart" uri="{C3380CC4-5D6E-409C-BE32-E72D297353CC}">
              <c16:uniqueId val="{0000000C-2226-42AC-8B4F-03FC893450FF}"/>
            </c:ext>
          </c:extLst>
        </c:ser>
        <c:dLbls>
          <c:showLegendKey val="0"/>
          <c:showVal val="0"/>
          <c:showCatName val="0"/>
          <c:showSerName val="0"/>
          <c:showPercent val="0"/>
          <c:showBubbleSize val="0"/>
          <c:showLeaderLines val="1"/>
        </c:dLbls>
        <c:firstSliceAng val="0"/>
        <c:holeSize val="50"/>
      </c:doughnutChart>
      <c:spPr>
        <a:noFill/>
        <a:ln w="0">
          <a:noFill/>
        </a:ln>
      </c:spPr>
    </c:plotArea>
    <c:legend>
      <c:legendPos val="r"/>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c:style val="2"/>
  <c:chart>
    <c:autoTitleDeleted val="1"/>
    <c:plotArea>
      <c:layout/>
      <c:lineChart>
        <c:grouping val="standard"/>
        <c:varyColors val="0"/>
        <c:ser>
          <c:idx val="0"/>
          <c:order val="0"/>
          <c:tx>
            <c:v>Base Case</c:v>
          </c:tx>
          <c:spPr>
            <a:ln w="24120">
              <a:solidFill>
                <a:srgbClr val="083152"/>
              </a:solidFill>
              <a:round/>
            </a:ln>
          </c:spPr>
          <c:marker>
            <c:symbol val="circle"/>
            <c:size val="5"/>
            <c:spPr>
              <a:solidFill>
                <a:srgbClr val="083152"/>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ANALYSIS'!$B$5:$N$5</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'SCENARIO ANALYSIS'!$B$13:$N$13</c:f>
              <c:numCache>
                <c:formatCode>\$#,##0;\(\$#,##0\);"-"</c:formatCode>
                <c:ptCount val="13"/>
                <c:pt idx="0">
                  <c:v>157000</c:v>
                </c:pt>
                <c:pt idx="1">
                  <c:v>141755</c:v>
                </c:pt>
                <c:pt idx="2">
                  <c:v>169015</c:v>
                </c:pt>
                <c:pt idx="3">
                  <c:v>148825</c:v>
                </c:pt>
                <c:pt idx="4">
                  <c:v>169895</c:v>
                </c:pt>
                <c:pt idx="5">
                  <c:v>167210</c:v>
                </c:pt>
                <c:pt idx="6">
                  <c:v>148410</c:v>
                </c:pt>
                <c:pt idx="7">
                  <c:v>102810</c:v>
                </c:pt>
                <c:pt idx="8">
                  <c:v>125130</c:v>
                </c:pt>
                <c:pt idx="9">
                  <c:v>107975</c:v>
                </c:pt>
                <c:pt idx="10">
                  <c:v>119405</c:v>
                </c:pt>
                <c:pt idx="11">
                  <c:v>127875</c:v>
                </c:pt>
                <c:pt idx="12">
                  <c:v>154625</c:v>
                </c:pt>
              </c:numCache>
            </c:numRef>
          </c:val>
          <c:smooth val="0"/>
          <c:extLst>
            <c:ext xmlns:c16="http://schemas.microsoft.com/office/drawing/2014/chart" uri="{C3380CC4-5D6E-409C-BE32-E72D297353CC}">
              <c16:uniqueId val="{00000000-D7E3-4DD6-A021-8248CB847D26}"/>
            </c:ext>
          </c:extLst>
        </c:ser>
        <c:ser>
          <c:idx val="1"/>
          <c:order val="1"/>
          <c:tx>
            <c:v>Downside Case</c:v>
          </c:tx>
          <c:spPr>
            <a:ln w="20160">
              <a:solidFill>
                <a:srgbClr val="23727C"/>
              </a:solidFill>
              <a:prstDash val="dash"/>
              <a:round/>
            </a:ln>
          </c:spPr>
          <c:marker>
            <c:symbol val="triangle"/>
            <c:size val="5"/>
            <c:spPr>
              <a:solidFill>
                <a:srgbClr val="23727C"/>
              </a:solidFill>
            </c:spPr>
          </c:marker>
          <c:dLbls>
            <c:spPr>
              <a:noFill/>
              <a:ln>
                <a:noFill/>
              </a:ln>
              <a:effectLst/>
            </c:spPr>
            <c:txPr>
              <a:bodyPr wrap="none"/>
              <a:lstStyle/>
              <a:p>
                <a:pPr>
                  <a:defRPr sz="1000" b="0" strike="noStrike" spc="-1">
                    <a:latin typeface="Arial"/>
                  </a:defRPr>
                </a:pPr>
                <a:endParaRPr lang="en-US"/>
              </a:p>
            </c:txPr>
            <c:showLegendKey val="0"/>
            <c:showVal val="0"/>
            <c:showCatName val="0"/>
            <c:showSerName val="0"/>
            <c:showPercent val="0"/>
            <c:showBubbleSize val="1"/>
            <c:separator> </c:separator>
            <c:showLeaderLines val="0"/>
            <c:extLst>
              <c:ext xmlns:c15="http://schemas.microsoft.com/office/drawing/2012/chart" uri="{CE6537A1-D6FC-4f65-9D91-7224C49458BB}">
                <c15:showLeaderLines val="1"/>
              </c:ext>
            </c:extLst>
          </c:dLbls>
          <c:cat>
            <c:strRef>
              <c:f>'SCENARIO ANALYSIS'!$B$5:$N$5</c:f>
              <c:strCache>
                <c:ptCount val="13"/>
                <c:pt idx="0">
                  <c:v>Week 1</c:v>
                </c:pt>
                <c:pt idx="1">
                  <c:v>Week 2</c:v>
                </c:pt>
                <c:pt idx="2">
                  <c:v>Week 3</c:v>
                </c:pt>
                <c:pt idx="3">
                  <c:v>Week 4</c:v>
                </c:pt>
                <c:pt idx="4">
                  <c:v>Week 5</c:v>
                </c:pt>
                <c:pt idx="5">
                  <c:v>Week 6</c:v>
                </c:pt>
                <c:pt idx="6">
                  <c:v>Week 7</c:v>
                </c:pt>
                <c:pt idx="7">
                  <c:v>Week 8</c:v>
                </c:pt>
                <c:pt idx="8">
                  <c:v>Week 9</c:v>
                </c:pt>
                <c:pt idx="9">
                  <c:v>Week 10</c:v>
                </c:pt>
                <c:pt idx="10">
                  <c:v>Week 11</c:v>
                </c:pt>
                <c:pt idx="11">
                  <c:v>Week 12</c:v>
                </c:pt>
                <c:pt idx="12">
                  <c:v>Week 13</c:v>
                </c:pt>
              </c:strCache>
            </c:strRef>
          </c:cat>
          <c:val>
            <c:numRef>
              <c:f>'SCENARIO ANALYSIS'!$B$24:$N$24</c:f>
              <c:numCache>
                <c:formatCode>\$#,##0;\(\$#,##0\);"-"</c:formatCode>
                <c:ptCount val="13"/>
                <c:pt idx="0">
                  <c:v>116987.5</c:v>
                </c:pt>
                <c:pt idx="1">
                  <c:v>99949</c:v>
                </c:pt>
                <c:pt idx="2">
                  <c:v>111787</c:v>
                </c:pt>
                <c:pt idx="3">
                  <c:v>99362.5</c:v>
                </c:pt>
                <c:pt idx="4">
                  <c:v>104972</c:v>
                </c:pt>
                <c:pt idx="5">
                  <c:v>102981.5</c:v>
                </c:pt>
                <c:pt idx="6">
                  <c:v>87771.5</c:v>
                </c:pt>
                <c:pt idx="7">
                  <c:v>34846.5</c:v>
                </c:pt>
                <c:pt idx="8">
                  <c:v>51967</c:v>
                </c:pt>
                <c:pt idx="9">
                  <c:v>18823</c:v>
                </c:pt>
                <c:pt idx="10">
                  <c:v>29812</c:v>
                </c:pt>
                <c:pt idx="11">
                  <c:v>20930.5</c:v>
                </c:pt>
                <c:pt idx="12">
                  <c:v>52451</c:v>
                </c:pt>
              </c:numCache>
            </c:numRef>
          </c:val>
          <c:smooth val="0"/>
          <c:extLst>
            <c:ext xmlns:c16="http://schemas.microsoft.com/office/drawing/2014/chart" uri="{C3380CC4-5D6E-409C-BE32-E72D297353CC}">
              <c16:uniqueId val="{00000001-D7E3-4DD6-A021-8248CB847D26}"/>
            </c:ext>
          </c:extLst>
        </c:ser>
        <c:dLbls>
          <c:showLegendKey val="0"/>
          <c:showVal val="0"/>
          <c:showCatName val="0"/>
          <c:showSerName val="0"/>
          <c:showPercent val="0"/>
          <c:showBubbleSize val="0"/>
        </c:dLbls>
        <c:hiLowLines>
          <c:spPr>
            <a:ln w="0">
              <a:noFill/>
            </a:ln>
          </c:spPr>
        </c:hiLowLines>
        <c:marker val="1"/>
        <c:smooth val="0"/>
        <c:axId val="68845174"/>
        <c:axId val="88671270"/>
      </c:lineChart>
      <c:catAx>
        <c:axId val="68845174"/>
        <c:scaling>
          <c:orientation val="minMax"/>
        </c:scaling>
        <c:delete val="0"/>
        <c:axPos val="b"/>
        <c:numFmt formatCode="General" sourceLinked="1"/>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88671270"/>
        <c:crosses val="autoZero"/>
        <c:auto val="1"/>
        <c:lblAlgn val="ctr"/>
        <c:lblOffset val="100"/>
        <c:noMultiLvlLbl val="0"/>
      </c:catAx>
      <c:valAx>
        <c:axId val="88671270"/>
        <c:scaling>
          <c:orientation val="minMax"/>
        </c:scaling>
        <c:delete val="0"/>
        <c:axPos val="l"/>
        <c:majorGridlines>
          <c:spPr>
            <a:ln w="9360">
              <a:solidFill>
                <a:srgbClr val="878787"/>
              </a:solidFill>
              <a:round/>
            </a:ln>
          </c:spPr>
        </c:majorGridlines>
        <c:numFmt formatCode="\$#,##0" sourceLinked="0"/>
        <c:majorTickMark val="none"/>
        <c:minorTickMark val="none"/>
        <c:tickLblPos val="nextTo"/>
        <c:spPr>
          <a:ln w="9360">
            <a:solidFill>
              <a:srgbClr val="878787"/>
            </a:solidFill>
            <a:round/>
          </a:ln>
        </c:spPr>
        <c:txPr>
          <a:bodyPr/>
          <a:lstStyle/>
          <a:p>
            <a:pPr>
              <a:defRPr sz="1000" b="0" strike="noStrike" spc="-1">
                <a:solidFill>
                  <a:srgbClr val="000000"/>
                </a:solidFill>
                <a:latin typeface="Calibri"/>
              </a:defRPr>
            </a:pPr>
            <a:endParaRPr lang="en-US"/>
          </a:p>
        </c:txPr>
        <c:crossAx val="68845174"/>
        <c:crosses val="autoZero"/>
        <c:crossBetween val="between"/>
      </c:valAx>
      <c:spPr>
        <a:noFill/>
        <a:ln w="0">
          <a:noFill/>
        </a:ln>
      </c:spPr>
    </c:plotArea>
    <c:legend>
      <c:legendPos val="b"/>
      <c:overlay val="0"/>
      <c:spPr>
        <a:noFill/>
        <a:ln w="0">
          <a:noFill/>
        </a:ln>
      </c:spPr>
      <c:txPr>
        <a:bodyPr/>
        <a:lstStyle/>
        <a:p>
          <a:pPr>
            <a:defRPr sz="1000" b="0" strike="noStrike" spc="-1">
              <a:solidFill>
                <a:srgbClr val="000000"/>
              </a:solidFill>
              <a:latin typeface="Calibri"/>
            </a:defRPr>
          </a:pPr>
          <a:endParaRPr lang="en-US"/>
        </a:p>
      </c:txPr>
    </c:legend>
    <c:plotVisOnly val="1"/>
    <c:dispBlanksAs val="gap"/>
    <c:showDLblsOverMax val="1"/>
  </c:chart>
  <c:spPr>
    <a:solidFill>
      <a:srgbClr val="FFFFFF"/>
    </a:solidFill>
    <a:ln w="9360">
      <a:solidFill>
        <a:srgbClr val="D9D9D9"/>
      </a:solidFill>
      <a:round/>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3" Type="http://schemas.openxmlformats.org/officeDocument/2006/relationships/chart" Target="../charts/chart5.xml"/><Relationship Id="rId2" Type="http://schemas.openxmlformats.org/officeDocument/2006/relationships/chart" Target="../charts/chart4.xml"/><Relationship Id="rId1" Type="http://schemas.openxmlformats.org/officeDocument/2006/relationships/chart" Target="../charts/chart3.xml"/><Relationship Id="rId4"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10</xdr:col>
      <xdr:colOff>587160</xdr:colOff>
      <xdr:row>19</xdr:row>
      <xdr:rowOff>95400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0</xdr:colOff>
      <xdr:row>25</xdr:row>
      <xdr:rowOff>0</xdr:rowOff>
    </xdr:from>
    <xdr:to>
      <xdr:col>12</xdr:col>
      <xdr:colOff>801000</xdr:colOff>
      <xdr:row>41</xdr:row>
      <xdr:rowOff>11880</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10</xdr:row>
      <xdr:rowOff>0</xdr:rowOff>
    </xdr:from>
    <xdr:to>
      <xdr:col>6</xdr:col>
      <xdr:colOff>330480</xdr:colOff>
      <xdr:row>23</xdr:row>
      <xdr:rowOff>186840</xdr:rowOff>
    </xdr:to>
    <xdr:graphicFrame macro="">
      <xdr:nvGraphicFramePr>
        <xdr:cNvPr id="2" name="Chart 1">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0</xdr:colOff>
      <xdr:row>10</xdr:row>
      <xdr:rowOff>0</xdr:rowOff>
    </xdr:from>
    <xdr:to>
      <xdr:col>12</xdr:col>
      <xdr:colOff>330840</xdr:colOff>
      <xdr:row>23</xdr:row>
      <xdr:rowOff>186840</xdr:rowOff>
    </xdr:to>
    <xdr:graphicFrame macro="">
      <xdr:nvGraphicFramePr>
        <xdr:cNvPr id="3" name="Chart 2">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xdr:col>
      <xdr:colOff>0</xdr:colOff>
      <xdr:row>26</xdr:row>
      <xdr:rowOff>0</xdr:rowOff>
    </xdr:from>
    <xdr:to>
      <xdr:col>6</xdr:col>
      <xdr:colOff>330480</xdr:colOff>
      <xdr:row>39</xdr:row>
      <xdr:rowOff>186840</xdr:rowOff>
    </xdr:to>
    <xdr:graphicFrame macro="">
      <xdr:nvGraphicFramePr>
        <xdr:cNvPr id="4" name="Chart 3">
          <a:extLst>
            <a:ext uri="{FF2B5EF4-FFF2-40B4-BE49-F238E27FC236}">
              <a16:creationId xmlns:a16="http://schemas.microsoft.com/office/drawing/2014/main" id="{00000000-0008-0000-05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26</xdr:row>
      <xdr:rowOff>0</xdr:rowOff>
    </xdr:from>
    <xdr:to>
      <xdr:col>12</xdr:col>
      <xdr:colOff>330840</xdr:colOff>
      <xdr:row>39</xdr:row>
      <xdr:rowOff>186840</xdr:rowOff>
    </xdr:to>
    <xdr:graphicFrame macro="">
      <xdr:nvGraphicFramePr>
        <xdr:cNvPr id="5" name="Chart 4">
          <a:extLst>
            <a:ext uri="{FF2B5EF4-FFF2-40B4-BE49-F238E27FC236}">
              <a16:creationId xmlns:a16="http://schemas.microsoft.com/office/drawing/2014/main" id="{00000000-0008-0000-05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83152"/>
    <pageSetUpPr fitToPage="1"/>
  </sheetPr>
  <dimension ref="A1:I58"/>
  <sheetViews>
    <sheetView showGridLines="0" tabSelected="1" zoomScaleNormal="100" workbookViewId="0">
      <pane ySplit="6" topLeftCell="A7" activePane="bottomLeft" state="frozen"/>
      <selection pane="bottomLeft"/>
    </sheetView>
  </sheetViews>
  <sheetFormatPr defaultColWidth="8.6328125" defaultRowHeight="14.5" x14ac:dyDescent="0.35"/>
  <cols>
    <col min="1" max="1" width="3" customWidth="1"/>
    <col min="2" max="2" width="4" customWidth="1"/>
    <col min="3" max="7" width="14" customWidth="1"/>
    <col min="8" max="8" width="18" customWidth="1"/>
    <col min="9" max="9" width="3" customWidth="1"/>
  </cols>
  <sheetData>
    <row r="1" spans="1:9" ht="9.75" customHeight="1" x14ac:dyDescent="0.35">
      <c r="A1" s="15"/>
      <c r="B1" s="15"/>
      <c r="C1" s="15"/>
      <c r="D1" s="15"/>
      <c r="E1" s="15"/>
      <c r="F1" s="15"/>
      <c r="G1" s="15"/>
      <c r="H1" s="15"/>
      <c r="I1" s="15"/>
    </row>
    <row r="2" spans="1:9" ht="15.75" customHeight="1" x14ac:dyDescent="0.35">
      <c r="A2" s="15"/>
      <c r="B2" s="14" t="s">
        <v>0</v>
      </c>
      <c r="C2" s="14"/>
      <c r="D2" s="14"/>
      <c r="E2" s="14"/>
      <c r="F2" s="14"/>
      <c r="G2" s="14"/>
      <c r="H2" s="14"/>
      <c r="I2" s="15"/>
    </row>
    <row r="3" spans="1:9" ht="36" customHeight="1" x14ac:dyDescent="0.35">
      <c r="A3" s="15"/>
      <c r="B3" s="13" t="s">
        <v>1</v>
      </c>
      <c r="C3" s="13"/>
      <c r="D3" s="13"/>
      <c r="E3" s="13"/>
      <c r="F3" s="13"/>
      <c r="G3" s="13"/>
      <c r="H3" s="13"/>
      <c r="I3" s="15"/>
    </row>
    <row r="4" spans="1:9" ht="31.5" customHeight="1" x14ac:dyDescent="0.35">
      <c r="A4" s="15"/>
      <c r="B4" s="12" t="s">
        <v>2</v>
      </c>
      <c r="C4" s="12"/>
      <c r="D4" s="12"/>
      <c r="E4" s="12"/>
      <c r="F4" s="12"/>
      <c r="G4" s="12"/>
      <c r="H4" s="12"/>
      <c r="I4" s="15"/>
    </row>
    <row r="5" spans="1:9" ht="6" customHeight="1" x14ac:dyDescent="0.35">
      <c r="A5" s="15"/>
      <c r="B5" s="15"/>
      <c r="C5" s="15"/>
      <c r="D5" s="15"/>
      <c r="E5" s="15"/>
      <c r="F5" s="15"/>
      <c r="G5" s="15"/>
      <c r="H5" s="15"/>
      <c r="I5" s="15"/>
    </row>
    <row r="6" spans="1:9" ht="6" customHeight="1" x14ac:dyDescent="0.35">
      <c r="A6" s="15"/>
      <c r="B6" s="15"/>
      <c r="C6" s="15"/>
      <c r="D6" s="15"/>
      <c r="E6" s="15"/>
      <c r="F6" s="15"/>
      <c r="G6" s="15"/>
      <c r="H6" s="15"/>
      <c r="I6" s="15"/>
    </row>
    <row r="8" spans="1:9" ht="21.75" customHeight="1" x14ac:dyDescent="0.35">
      <c r="B8" s="11" t="s">
        <v>3</v>
      </c>
      <c r="C8" s="11"/>
      <c r="D8" s="11"/>
      <c r="E8" s="11"/>
      <c r="F8" s="11"/>
      <c r="G8" s="11"/>
      <c r="H8" s="11"/>
    </row>
    <row r="9" spans="1:9" ht="6" customHeight="1" x14ac:dyDescent="0.35"/>
    <row r="10" spans="1:9" ht="15.75" customHeight="1" x14ac:dyDescent="0.35">
      <c r="B10" s="10" t="s">
        <v>4</v>
      </c>
      <c r="C10" s="10"/>
      <c r="D10" s="10"/>
      <c r="E10" s="10"/>
      <c r="F10" s="10"/>
      <c r="G10" s="10"/>
      <c r="H10" s="10"/>
    </row>
    <row r="11" spans="1:9" ht="30" customHeight="1" x14ac:dyDescent="0.35">
      <c r="B11" s="10" t="s">
        <v>5</v>
      </c>
      <c r="C11" s="10"/>
      <c r="D11" s="10"/>
      <c r="E11" s="10"/>
      <c r="F11" s="10"/>
      <c r="G11" s="10"/>
      <c r="H11" s="10"/>
    </row>
    <row r="12" spans="1:9" ht="15.75" customHeight="1" x14ac:dyDescent="0.35">
      <c r="B12" s="10" t="s">
        <v>6</v>
      </c>
      <c r="C12" s="10"/>
      <c r="D12" s="10"/>
      <c r="E12" s="10"/>
      <c r="F12" s="10"/>
      <c r="G12" s="10"/>
      <c r="H12" s="10"/>
    </row>
    <row r="14" spans="1:9" ht="21.75" customHeight="1" x14ac:dyDescent="0.35">
      <c r="B14" s="11" t="s">
        <v>7</v>
      </c>
      <c r="C14" s="11"/>
      <c r="D14" s="11"/>
      <c r="E14" s="11"/>
      <c r="F14" s="11"/>
      <c r="G14" s="11"/>
      <c r="H14" s="11"/>
    </row>
    <row r="15" spans="1:9" ht="6" customHeight="1" x14ac:dyDescent="0.35"/>
    <row r="16" spans="1:9" ht="16.5" customHeight="1" x14ac:dyDescent="0.35">
      <c r="B16" s="16" t="s">
        <v>8</v>
      </c>
      <c r="C16" s="9" t="s">
        <v>9</v>
      </c>
      <c r="D16" s="9"/>
      <c r="E16" s="9"/>
      <c r="F16" s="9"/>
      <c r="G16" s="9"/>
      <c r="H16" s="17" t="s">
        <v>10</v>
      </c>
    </row>
    <row r="17" spans="2:8" ht="16.5" customHeight="1" x14ac:dyDescent="0.35">
      <c r="B17" s="16" t="s">
        <v>11</v>
      </c>
      <c r="C17" s="9" t="s">
        <v>12</v>
      </c>
      <c r="D17" s="9"/>
      <c r="E17" s="9"/>
      <c r="F17" s="9"/>
      <c r="G17" s="9"/>
      <c r="H17" s="17" t="s">
        <v>13</v>
      </c>
    </row>
    <row r="18" spans="2:8" ht="16.5" customHeight="1" x14ac:dyDescent="0.35">
      <c r="B18" s="16" t="s">
        <v>14</v>
      </c>
      <c r="C18" s="9" t="s">
        <v>15</v>
      </c>
      <c r="D18" s="9"/>
      <c r="E18" s="9"/>
      <c r="F18" s="9"/>
      <c r="G18" s="9"/>
      <c r="H18" s="17" t="s">
        <v>13</v>
      </c>
    </row>
    <row r="19" spans="2:8" ht="16.5" customHeight="1" x14ac:dyDescent="0.35">
      <c r="B19" s="16" t="s">
        <v>16</v>
      </c>
      <c r="C19" s="9" t="s">
        <v>17</v>
      </c>
      <c r="D19" s="9"/>
      <c r="E19" s="9"/>
      <c r="F19" s="9"/>
      <c r="G19" s="9"/>
      <c r="H19" s="17" t="s">
        <v>13</v>
      </c>
    </row>
    <row r="20" spans="2:8" ht="16.5" customHeight="1" x14ac:dyDescent="0.35">
      <c r="B20" s="16" t="s">
        <v>18</v>
      </c>
      <c r="C20" s="9" t="s">
        <v>19</v>
      </c>
      <c r="D20" s="9"/>
      <c r="E20" s="9"/>
      <c r="F20" s="9"/>
      <c r="G20" s="9"/>
      <c r="H20" s="17"/>
    </row>
    <row r="21" spans="2:8" ht="16.5" customHeight="1" x14ac:dyDescent="0.35">
      <c r="B21" s="16" t="s">
        <v>20</v>
      </c>
      <c r="C21" s="9" t="s">
        <v>21</v>
      </c>
      <c r="D21" s="9"/>
      <c r="E21" s="9"/>
      <c r="F21" s="9"/>
      <c r="G21" s="9"/>
      <c r="H21" s="17"/>
    </row>
    <row r="23" spans="2:8" ht="15.75" customHeight="1" x14ac:dyDescent="0.35">
      <c r="B23" s="8" t="s">
        <v>22</v>
      </c>
      <c r="C23" s="8"/>
      <c r="D23" s="8"/>
      <c r="E23" s="8"/>
      <c r="F23" s="8"/>
      <c r="G23" s="8"/>
      <c r="H23" s="8"/>
    </row>
    <row r="24" spans="2:8" ht="30" customHeight="1" x14ac:dyDescent="0.35">
      <c r="B24" s="7" t="s">
        <v>23</v>
      </c>
      <c r="C24" s="7"/>
      <c r="D24" s="7"/>
      <c r="E24" s="7"/>
      <c r="F24" s="7"/>
      <c r="G24" s="7"/>
      <c r="H24" s="7"/>
    </row>
    <row r="25" spans="2:8" ht="6" customHeight="1" x14ac:dyDescent="0.35">
      <c r="B25" s="18"/>
      <c r="C25" s="19"/>
      <c r="D25" s="19"/>
      <c r="E25" s="19"/>
      <c r="F25" s="19"/>
      <c r="G25" s="19"/>
      <c r="H25" s="20"/>
    </row>
    <row r="27" spans="2:8" ht="21.75" customHeight="1" x14ac:dyDescent="0.35">
      <c r="B27" s="11" t="s">
        <v>24</v>
      </c>
      <c r="C27" s="11"/>
      <c r="D27" s="11"/>
      <c r="E27" s="11"/>
      <c r="F27" s="11"/>
      <c r="G27" s="11"/>
      <c r="H27" s="11"/>
    </row>
    <row r="28" spans="2:8" ht="6" customHeight="1" x14ac:dyDescent="0.35"/>
    <row r="29" spans="2:8" ht="15.75" customHeight="1" x14ac:dyDescent="0.35">
      <c r="B29" s="21" t="s">
        <v>25</v>
      </c>
      <c r="C29" s="9" t="s">
        <v>26</v>
      </c>
      <c r="D29" s="9"/>
      <c r="E29" s="9"/>
      <c r="F29" s="9"/>
      <c r="G29" s="9"/>
      <c r="H29" s="9"/>
    </row>
    <row r="30" spans="2:8" ht="15.75" customHeight="1" x14ac:dyDescent="0.35">
      <c r="B30" s="21" t="s">
        <v>25</v>
      </c>
      <c r="C30" s="9" t="s">
        <v>27</v>
      </c>
      <c r="D30" s="9"/>
      <c r="E30" s="9"/>
      <c r="F30" s="9"/>
      <c r="G30" s="9"/>
      <c r="H30" s="9"/>
    </row>
    <row r="31" spans="2:8" ht="15.75" customHeight="1" x14ac:dyDescent="0.35">
      <c r="B31" s="21" t="s">
        <v>25</v>
      </c>
      <c r="C31" s="9" t="s">
        <v>28</v>
      </c>
      <c r="D31" s="9"/>
      <c r="E31" s="9"/>
      <c r="F31" s="9"/>
      <c r="G31" s="9"/>
      <c r="H31" s="9"/>
    </row>
    <row r="32" spans="2:8" ht="15.75" customHeight="1" x14ac:dyDescent="0.35">
      <c r="B32" s="21" t="s">
        <v>25</v>
      </c>
      <c r="C32" s="9" t="s">
        <v>29</v>
      </c>
      <c r="D32" s="9"/>
      <c r="E32" s="9"/>
      <c r="F32" s="9"/>
      <c r="G32" s="9"/>
      <c r="H32" s="9"/>
    </row>
    <row r="33" spans="2:8" ht="15.75" customHeight="1" x14ac:dyDescent="0.35">
      <c r="B33" s="21" t="s">
        <v>25</v>
      </c>
      <c r="C33" s="9" t="s">
        <v>30</v>
      </c>
      <c r="D33" s="9"/>
      <c r="E33" s="9"/>
      <c r="F33" s="9"/>
      <c r="G33" s="9"/>
      <c r="H33" s="9"/>
    </row>
    <row r="34" spans="2:8" ht="15.75" customHeight="1" x14ac:dyDescent="0.35">
      <c r="B34" s="21" t="s">
        <v>25</v>
      </c>
      <c r="C34" s="9" t="s">
        <v>31</v>
      </c>
      <c r="D34" s="9"/>
      <c r="E34" s="9"/>
      <c r="F34" s="9"/>
      <c r="G34" s="9"/>
      <c r="H34" s="9"/>
    </row>
    <row r="35" spans="2:8" ht="15.75" customHeight="1" x14ac:dyDescent="0.35">
      <c r="B35" s="21" t="s">
        <v>25</v>
      </c>
      <c r="C35" s="9" t="s">
        <v>32</v>
      </c>
      <c r="D35" s="9"/>
      <c r="E35" s="9"/>
      <c r="F35" s="9"/>
      <c r="G35" s="9"/>
      <c r="H35" s="9"/>
    </row>
    <row r="37" spans="2:8" ht="21.75" customHeight="1" x14ac:dyDescent="0.35">
      <c r="B37" s="11" t="s">
        <v>33</v>
      </c>
      <c r="C37" s="11"/>
      <c r="D37" s="11"/>
      <c r="E37" s="11"/>
      <c r="F37" s="11"/>
      <c r="G37" s="11"/>
      <c r="H37" s="11"/>
    </row>
    <row r="38" spans="2:8" ht="6" customHeight="1" x14ac:dyDescent="0.35"/>
    <row r="39" spans="2:8" ht="18" customHeight="1" x14ac:dyDescent="0.35">
      <c r="B39" s="6" t="s">
        <v>34</v>
      </c>
      <c r="C39" s="6"/>
      <c r="D39" s="5" t="s">
        <v>35</v>
      </c>
      <c r="E39" s="5"/>
      <c r="F39" s="5"/>
      <c r="G39" s="5"/>
      <c r="H39" s="5"/>
    </row>
    <row r="40" spans="2:8" ht="33.75" customHeight="1" x14ac:dyDescent="0.35">
      <c r="B40" s="4" t="s">
        <v>36</v>
      </c>
      <c r="C40" s="4"/>
      <c r="D40" s="3" t="s">
        <v>37</v>
      </c>
      <c r="E40" s="3"/>
      <c r="F40" s="3"/>
      <c r="G40" s="3"/>
      <c r="H40" s="3"/>
    </row>
    <row r="42" spans="2:8" ht="21.75" customHeight="1" x14ac:dyDescent="0.35">
      <c r="B42" s="11" t="s">
        <v>38</v>
      </c>
      <c r="C42" s="11"/>
      <c r="D42" s="11"/>
      <c r="E42" s="11"/>
      <c r="F42" s="11"/>
      <c r="G42" s="11"/>
      <c r="H42" s="11"/>
    </row>
    <row r="43" spans="2:8" ht="6" customHeight="1" x14ac:dyDescent="0.35"/>
    <row r="44" spans="2:8" ht="15.75" customHeight="1" x14ac:dyDescent="0.35">
      <c r="B44" s="2" t="s">
        <v>39</v>
      </c>
      <c r="C44" s="2"/>
      <c r="D44" s="2"/>
      <c r="E44" s="2"/>
      <c r="F44" s="2"/>
      <c r="G44" s="2"/>
      <c r="H44" s="2"/>
    </row>
    <row r="45" spans="2:8" ht="15.75" customHeight="1" x14ac:dyDescent="0.35">
      <c r="B45" s="3" t="s">
        <v>40</v>
      </c>
      <c r="C45" s="3"/>
      <c r="D45" s="3"/>
      <c r="E45" s="3"/>
      <c r="F45" s="3"/>
      <c r="G45" s="3"/>
      <c r="H45" s="3"/>
    </row>
    <row r="46" spans="2:8" ht="15.75" customHeight="1" x14ac:dyDescent="0.35">
      <c r="B46" s="3" t="s">
        <v>41</v>
      </c>
      <c r="C46" s="3"/>
      <c r="D46" s="3"/>
      <c r="E46" s="3"/>
      <c r="F46" s="3"/>
      <c r="G46" s="3"/>
      <c r="H46" s="3"/>
    </row>
    <row r="47" spans="2:8" ht="15.75" customHeight="1" x14ac:dyDescent="0.35">
      <c r="B47" s="3" t="s">
        <v>42</v>
      </c>
      <c r="C47" s="3"/>
      <c r="D47" s="3"/>
      <c r="E47" s="3"/>
      <c r="F47" s="3"/>
      <c r="G47" s="3"/>
      <c r="H47" s="3"/>
    </row>
    <row r="48" spans="2:8" ht="15.75" customHeight="1" x14ac:dyDescent="0.35">
      <c r="B48" s="3" t="s">
        <v>43</v>
      </c>
      <c r="C48" s="3"/>
      <c r="D48" s="3"/>
      <c r="E48" s="3"/>
      <c r="F48" s="3"/>
      <c r="G48" s="3"/>
      <c r="H48" s="3"/>
    </row>
    <row r="49" spans="1:9" ht="42" customHeight="1" x14ac:dyDescent="0.35">
      <c r="B49" s="1" t="s">
        <v>44</v>
      </c>
      <c r="C49" s="1"/>
      <c r="D49" s="1"/>
      <c r="E49" s="1"/>
      <c r="F49" s="1"/>
      <c r="G49" s="1"/>
      <c r="H49" s="1"/>
    </row>
    <row r="51" spans="1:9" ht="15" customHeight="1" x14ac:dyDescent="0.35">
      <c r="B51" s="98" t="s">
        <v>45</v>
      </c>
      <c r="C51" s="98"/>
      <c r="D51" s="98"/>
      <c r="E51" s="98"/>
      <c r="F51" s="98"/>
      <c r="G51" s="98"/>
      <c r="H51" s="98"/>
    </row>
    <row r="52" spans="1:9" ht="60" customHeight="1" x14ac:dyDescent="0.35">
      <c r="B52" s="99" t="s">
        <v>46</v>
      </c>
      <c r="C52" s="99"/>
      <c r="D52" s="99"/>
      <c r="E52" s="99"/>
      <c r="F52" s="99"/>
      <c r="G52" s="99"/>
      <c r="H52" s="99"/>
    </row>
    <row r="54" spans="1:9" ht="7.5" customHeight="1" x14ac:dyDescent="0.35">
      <c r="A54" s="15"/>
      <c r="B54" s="15"/>
      <c r="C54" s="15"/>
      <c r="D54" s="15"/>
      <c r="E54" s="15"/>
      <c r="F54" s="15"/>
      <c r="G54" s="15"/>
      <c r="H54" s="15"/>
      <c r="I54" s="15"/>
    </row>
    <row r="55" spans="1:9" ht="19.5" customHeight="1" x14ac:dyDescent="0.35">
      <c r="A55" s="15"/>
      <c r="B55" s="100" t="s">
        <v>47</v>
      </c>
      <c r="C55" s="100"/>
      <c r="D55" s="100"/>
      <c r="E55" s="100"/>
      <c r="F55" s="100"/>
      <c r="G55" s="100"/>
      <c r="H55" s="100"/>
      <c r="I55" s="15"/>
    </row>
    <row r="56" spans="1:9" ht="15.75" customHeight="1" x14ac:dyDescent="0.35">
      <c r="A56" s="15"/>
      <c r="B56" s="101" t="s">
        <v>48</v>
      </c>
      <c r="C56" s="101"/>
      <c r="D56" s="101"/>
      <c r="E56" s="101"/>
      <c r="F56" s="101"/>
      <c r="G56" s="101"/>
      <c r="H56" s="101"/>
      <c r="I56" s="15"/>
    </row>
    <row r="57" spans="1:9" ht="15.75" customHeight="1" x14ac:dyDescent="0.35">
      <c r="A57" s="15"/>
      <c r="B57" s="102" t="s">
        <v>49</v>
      </c>
      <c r="C57" s="102"/>
      <c r="D57" s="102"/>
      <c r="E57" s="102"/>
      <c r="F57" s="102"/>
      <c r="G57" s="102"/>
      <c r="H57" s="102"/>
      <c r="I57" s="15"/>
    </row>
    <row r="58" spans="1:9" ht="9.75" customHeight="1" x14ac:dyDescent="0.35">
      <c r="A58" s="15"/>
      <c r="B58" s="15"/>
      <c r="C58" s="15"/>
      <c r="D58" s="15"/>
      <c r="E58" s="15"/>
      <c r="F58" s="15"/>
      <c r="G58" s="15"/>
      <c r="H58" s="15"/>
      <c r="I58" s="15"/>
    </row>
  </sheetData>
  <mergeCells count="41">
    <mergeCell ref="B57:H57"/>
    <mergeCell ref="B49:H49"/>
    <mergeCell ref="B51:H51"/>
    <mergeCell ref="B52:H52"/>
    <mergeCell ref="B55:H55"/>
    <mergeCell ref="B56:H56"/>
    <mergeCell ref="B44:H44"/>
    <mergeCell ref="B45:H45"/>
    <mergeCell ref="B46:H46"/>
    <mergeCell ref="B47:H47"/>
    <mergeCell ref="B48:H48"/>
    <mergeCell ref="B39:C39"/>
    <mergeCell ref="D39:H39"/>
    <mergeCell ref="B40:C40"/>
    <mergeCell ref="D40:H40"/>
    <mergeCell ref="B42:H42"/>
    <mergeCell ref="C32:H32"/>
    <mergeCell ref="C33:H33"/>
    <mergeCell ref="C34:H34"/>
    <mergeCell ref="C35:H35"/>
    <mergeCell ref="B37:H37"/>
    <mergeCell ref="B24:H24"/>
    <mergeCell ref="B27:H27"/>
    <mergeCell ref="C29:H29"/>
    <mergeCell ref="C30:H30"/>
    <mergeCell ref="C31:H31"/>
    <mergeCell ref="C18:G18"/>
    <mergeCell ref="C19:G19"/>
    <mergeCell ref="C20:G20"/>
    <mergeCell ref="C21:G21"/>
    <mergeCell ref="B23:H23"/>
    <mergeCell ref="B11:H11"/>
    <mergeCell ref="B12:H12"/>
    <mergeCell ref="B14:H14"/>
    <mergeCell ref="C16:G16"/>
    <mergeCell ref="C17:G17"/>
    <mergeCell ref="B2:H2"/>
    <mergeCell ref="B3:H3"/>
    <mergeCell ref="B4:H4"/>
    <mergeCell ref="B8:H8"/>
    <mergeCell ref="B10:H10"/>
  </mergeCells>
  <pageMargins left="0.4" right="0.4" top="0.35" bottom="0.35" header="0.511811023622047" footer="0.511811023622047"/>
  <pageSetup orientation="portrait" horizontalDpi="300" verticalDpi="30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F21"/>
  <sheetViews>
    <sheetView showGridLines="0" zoomScaleNormal="100" workbookViewId="0">
      <pane ySplit="4" topLeftCell="A5" activePane="bottomLeft" state="frozen"/>
      <selection pane="bottomLeft"/>
    </sheetView>
  </sheetViews>
  <sheetFormatPr defaultColWidth="8.6328125" defaultRowHeight="14.5" x14ac:dyDescent="0.35"/>
  <cols>
    <col min="1" max="1" width="3" customWidth="1"/>
    <col min="2" max="2" width="38" customWidth="1"/>
    <col min="3" max="3" width="18" customWidth="1"/>
    <col min="4" max="4" width="3" customWidth="1"/>
    <col min="5" max="5" width="62" customWidth="1"/>
    <col min="6" max="6" width="3" customWidth="1"/>
  </cols>
  <sheetData>
    <row r="1" spans="1:6" ht="7.5" customHeight="1" x14ac:dyDescent="0.35">
      <c r="A1" s="15"/>
      <c r="B1" s="15"/>
      <c r="C1" s="15"/>
      <c r="D1" s="15"/>
      <c r="E1" s="15"/>
      <c r="F1" s="15"/>
    </row>
    <row r="2" spans="1:6" ht="27.75" customHeight="1" x14ac:dyDescent="0.35">
      <c r="A2" s="15"/>
      <c r="B2" s="103" t="s">
        <v>50</v>
      </c>
      <c r="C2" s="103"/>
      <c r="D2" s="103"/>
      <c r="E2" s="103"/>
      <c r="F2" s="15"/>
    </row>
    <row r="3" spans="1:6" ht="18" customHeight="1" x14ac:dyDescent="0.35">
      <c r="A3" s="15"/>
      <c r="B3" s="104" t="s">
        <v>51</v>
      </c>
      <c r="C3" s="104"/>
      <c r="D3" s="104"/>
      <c r="E3" s="104"/>
      <c r="F3" s="15"/>
    </row>
    <row r="4" spans="1:6" ht="7.5" customHeight="1" x14ac:dyDescent="0.35">
      <c r="A4" s="15"/>
      <c r="B4" s="15"/>
      <c r="C4" s="15"/>
      <c r="D4" s="15"/>
      <c r="E4" s="15"/>
      <c r="F4" s="15"/>
    </row>
    <row r="5" spans="1:6" ht="7.5" customHeight="1" x14ac:dyDescent="0.35"/>
    <row r="6" spans="1:6" ht="19.5" customHeight="1" x14ac:dyDescent="0.35">
      <c r="B6" s="105" t="s">
        <v>52</v>
      </c>
      <c r="C6" s="105"/>
      <c r="D6" s="105"/>
      <c r="E6" s="105"/>
    </row>
    <row r="7" spans="1:6" ht="18" customHeight="1" x14ac:dyDescent="0.35">
      <c r="B7" s="22" t="s">
        <v>53</v>
      </c>
      <c r="C7" s="23" t="s">
        <v>54</v>
      </c>
      <c r="E7" s="24" t="s">
        <v>55</v>
      </c>
    </row>
    <row r="8" spans="1:6" ht="30" customHeight="1" x14ac:dyDescent="0.35">
      <c r="B8" s="25" t="s">
        <v>56</v>
      </c>
      <c r="C8" s="26">
        <v>46272</v>
      </c>
      <c r="E8" s="27" t="s">
        <v>57</v>
      </c>
    </row>
    <row r="9" spans="1:6" ht="30" customHeight="1" x14ac:dyDescent="0.35">
      <c r="B9" s="25" t="s">
        <v>58</v>
      </c>
      <c r="C9" s="28">
        <v>142500</v>
      </c>
      <c r="E9" s="27" t="s">
        <v>59</v>
      </c>
    </row>
    <row r="10" spans="1:6" ht="30" customHeight="1" x14ac:dyDescent="0.35">
      <c r="B10" s="29" t="s">
        <v>60</v>
      </c>
      <c r="C10" s="30">
        <v>120000</v>
      </c>
      <c r="D10" s="31"/>
      <c r="E10" s="32" t="s">
        <v>61</v>
      </c>
    </row>
    <row r="11" spans="1:6" ht="13.5" customHeight="1" x14ac:dyDescent="0.35"/>
    <row r="12" spans="1:6" ht="19.5" customHeight="1" x14ac:dyDescent="0.35">
      <c r="B12" s="105" t="s">
        <v>62</v>
      </c>
      <c r="C12" s="105"/>
      <c r="D12" s="105"/>
      <c r="E12" s="105"/>
    </row>
    <row r="13" spans="1:6" ht="30" customHeight="1" x14ac:dyDescent="0.35">
      <c r="B13" s="106" t="s">
        <v>63</v>
      </c>
      <c r="C13" s="106"/>
      <c r="D13" s="106"/>
      <c r="E13" s="106"/>
    </row>
    <row r="14" spans="1:6" ht="18" customHeight="1" x14ac:dyDescent="0.35">
      <c r="B14" s="22" t="s">
        <v>53</v>
      </c>
      <c r="C14" s="23" t="s">
        <v>54</v>
      </c>
      <c r="E14" s="24" t="s">
        <v>64</v>
      </c>
    </row>
    <row r="15" spans="1:6" ht="31.5" customHeight="1" x14ac:dyDescent="0.35">
      <c r="B15" s="25" t="s">
        <v>65</v>
      </c>
      <c r="C15" s="33">
        <v>0.9</v>
      </c>
      <c r="E15" s="27" t="s">
        <v>66</v>
      </c>
    </row>
    <row r="16" spans="1:6" ht="31.5" customHeight="1" x14ac:dyDescent="0.35">
      <c r="B16" s="25" t="s">
        <v>67</v>
      </c>
      <c r="C16" s="34">
        <v>1</v>
      </c>
      <c r="E16" s="27" t="s">
        <v>68</v>
      </c>
    </row>
    <row r="17" spans="2:5" ht="31.5" customHeight="1" x14ac:dyDescent="0.35">
      <c r="B17" s="29" t="s">
        <v>69</v>
      </c>
      <c r="C17" s="35">
        <v>1.05</v>
      </c>
      <c r="D17" s="31"/>
      <c r="E17" s="32" t="s">
        <v>70</v>
      </c>
    </row>
    <row r="18" spans="2:5" ht="13.5" customHeight="1" x14ac:dyDescent="0.35"/>
    <row r="19" spans="2:5" ht="19.5" customHeight="1" x14ac:dyDescent="0.35">
      <c r="B19" s="105" t="s">
        <v>71</v>
      </c>
      <c r="C19" s="105"/>
      <c r="D19" s="105"/>
      <c r="E19" s="105"/>
    </row>
    <row r="20" spans="2:5" ht="21.75" customHeight="1" x14ac:dyDescent="0.35">
      <c r="B20" s="25" t="s">
        <v>72</v>
      </c>
      <c r="C20" s="107" t="str">
        <f>"Week 1 ending "&amp;TEXT('13-WEEK FORECAST'!B6,"mmm d, yyyy")&amp;"   through   Week 13 ending "&amp;TEXT('13-WEEK FORECAST'!N6,"mmm d, yyyy")</f>
        <v>Week 1 ending Sep 13, 2026   through   Week 13 ending Dec 6, 2026</v>
      </c>
      <c r="D20" s="107"/>
      <c r="E20" s="107"/>
    </row>
    <row r="21" spans="2:5" ht="30" customHeight="1" x14ac:dyDescent="0.35">
      <c r="B21" s="29" t="s">
        <v>73</v>
      </c>
      <c r="C21" s="108" t="s">
        <v>74</v>
      </c>
      <c r="D21" s="108"/>
      <c r="E21" s="108"/>
    </row>
  </sheetData>
  <sheetProtection sheet="1" formatCells="0" sort="0" autoFilter="0"/>
  <mergeCells count="8">
    <mergeCell ref="B19:E19"/>
    <mergeCell ref="C20:E20"/>
    <mergeCell ref="C21:E21"/>
    <mergeCell ref="B2:E2"/>
    <mergeCell ref="B3:E3"/>
    <mergeCell ref="B6:E6"/>
    <mergeCell ref="B12:E12"/>
    <mergeCell ref="B13:E13"/>
  </mergeCells>
  <dataValidations count="5">
    <dataValidation type="date" showInputMessage="1" showErrorMessage="1" errorTitle="Forecast Start Date" error="Enter a valid forecast start date." promptTitle="Forecast Start Date" prompt="Enter the first day of Week 1 (a Monday works best)." sqref="C8" xr:uid="{00000000-0002-0000-0100-000000000000}">
      <formula1>DATE(2020,1,1)</formula1>
      <formula2>DATE(2060,12,31)</formula2>
    </dataValidation>
    <dataValidation type="decimal" showErrorMessage="1" errorTitle="Beginning Cash" error="Enter a dollar amount." sqref="C9" xr:uid="{00000000-0002-0000-0100-000001000000}">
      <formula1>-1000000000</formula1>
      <formula2>1000000000</formula2>
    </dataValidation>
    <dataValidation type="decimal" showInputMessage="1" showErrorMessage="1" errorTitle="Minimum Desired Cash" error="Enter a dollar amount of zero or more." promptTitle="Minimum Desired Cash Balance" prompt="Your own comfort level — not a benchmark or recommendation." sqref="C10" xr:uid="{00000000-0002-0000-0100-000002000000}">
      <formula1>0</formula1>
      <formula2>1000000000</formula2>
    </dataValidation>
    <dataValidation type="decimal" showErrorMessage="1" errorTitle="Percentage input" error="Enter a percentage between 0% and 200%." sqref="C15 C17" xr:uid="{00000000-0002-0000-0100-000003000000}">
      <formula1>0</formula1>
      <formula2>2</formula2>
    </dataValidation>
    <dataValidation type="whole" showErrorMessage="1" errorTitle="Collection Delay" error="Enter a whole number of weeks between 0 and 6." sqref="C16" xr:uid="{00000000-0002-0000-0100-000004000000}">
      <formula1>0</formula1>
      <formula2>6</formula2>
    </dataValidation>
  </dataValidations>
  <pageMargins left="0.75" right="0.75" top="1" bottom="1" header="0.511811023622047" footer="0.511811023622047"/>
  <pageSetup fitToHeight="0" orientation="portrait" horizontalDpi="300" verticalDpi="300"/>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N80"/>
  <sheetViews>
    <sheetView showGridLines="0" zoomScale="90" zoomScaleNormal="90" workbookViewId="0">
      <pane xSplit="1" ySplit="6" topLeftCell="B34" activePane="bottomRight" state="frozen"/>
      <selection pane="topRight" activeCell="B1" sqref="B1"/>
      <selection pane="bottomLeft" activeCell="A7" sqref="A7"/>
      <selection pane="bottomRight" activeCell="I76" sqref="I76"/>
    </sheetView>
  </sheetViews>
  <sheetFormatPr defaultColWidth="8.6328125" defaultRowHeight="14.5" x14ac:dyDescent="0.35"/>
  <cols>
    <col min="1" max="1" width="40" customWidth="1"/>
    <col min="2" max="14" width="12.6328125" customWidth="1"/>
    <col min="15" max="15" width="3" customWidth="1"/>
  </cols>
  <sheetData>
    <row r="1" spans="1:14" ht="13.5" customHeight="1" x14ac:dyDescent="0.35">
      <c r="A1" s="109" t="s">
        <v>0</v>
      </c>
      <c r="B1" s="109"/>
      <c r="C1" s="109"/>
      <c r="D1" s="109"/>
      <c r="E1" s="109"/>
      <c r="F1" s="109"/>
      <c r="G1" s="109"/>
      <c r="H1" s="109"/>
      <c r="I1" s="109"/>
      <c r="J1" s="109"/>
      <c r="K1" s="109"/>
      <c r="L1" s="109"/>
      <c r="M1" s="109"/>
      <c r="N1" s="109"/>
    </row>
    <row r="2" spans="1:14" ht="25.5" customHeight="1" x14ac:dyDescent="0.35">
      <c r="A2" s="110" t="s">
        <v>1</v>
      </c>
      <c r="B2" s="110"/>
      <c r="C2" s="110"/>
      <c r="D2" s="110"/>
      <c r="E2" s="110"/>
      <c r="F2" s="110"/>
      <c r="G2" s="110"/>
      <c r="H2" s="15"/>
      <c r="I2" s="111" t="s">
        <v>75</v>
      </c>
      <c r="J2" s="111"/>
      <c r="K2" s="111"/>
      <c r="L2" s="111"/>
      <c r="M2" s="111"/>
      <c r="N2" s="111"/>
    </row>
    <row r="3" spans="1:14" ht="15.75" customHeight="1" x14ac:dyDescent="0.35">
      <c r="A3" s="112" t="s">
        <v>76</v>
      </c>
      <c r="B3" s="112"/>
      <c r="C3" s="112"/>
      <c r="D3" s="112"/>
      <c r="E3" s="112"/>
      <c r="F3" s="112"/>
      <c r="G3" s="112"/>
      <c r="H3" s="112"/>
      <c r="I3" s="112"/>
      <c r="J3" s="112"/>
      <c r="K3" s="112"/>
      <c r="L3" s="112"/>
      <c r="M3" s="112"/>
      <c r="N3" s="112"/>
    </row>
    <row r="4" spans="1:14" ht="7.5" customHeight="1" x14ac:dyDescent="0.35"/>
    <row r="5" spans="1:14" ht="19.5" customHeight="1" x14ac:dyDescent="0.35">
      <c r="A5" s="36" t="s">
        <v>77</v>
      </c>
      <c r="B5" s="37" t="s">
        <v>78</v>
      </c>
      <c r="C5" s="37" t="s">
        <v>79</v>
      </c>
      <c r="D5" s="37" t="s">
        <v>80</v>
      </c>
      <c r="E5" s="37" t="s">
        <v>81</v>
      </c>
      <c r="F5" s="37" t="s">
        <v>82</v>
      </c>
      <c r="G5" s="37" t="s">
        <v>83</v>
      </c>
      <c r="H5" s="37" t="s">
        <v>84</v>
      </c>
      <c r="I5" s="37" t="s">
        <v>85</v>
      </c>
      <c r="J5" s="37" t="s">
        <v>86</v>
      </c>
      <c r="K5" s="37" t="s">
        <v>87</v>
      </c>
      <c r="L5" s="37" t="s">
        <v>88</v>
      </c>
      <c r="M5" s="37" t="s">
        <v>89</v>
      </c>
      <c r="N5" s="37" t="s">
        <v>90</v>
      </c>
    </row>
    <row r="6" spans="1:14" ht="15.75" customHeight="1" x14ac:dyDescent="0.35">
      <c r="A6" s="38" t="s">
        <v>91</v>
      </c>
      <c r="B6" s="39">
        <f>IF(ASSUMPTIONS!$C$8="","",ASSUMPTIONS!$C$8+6)</f>
        <v>46278</v>
      </c>
      <c r="C6" s="39">
        <f t="shared" ref="C6:N6" si="0">IF(B6="","",B6+7)</f>
        <v>46285</v>
      </c>
      <c r="D6" s="39">
        <f t="shared" si="0"/>
        <v>46292</v>
      </c>
      <c r="E6" s="39">
        <f t="shared" si="0"/>
        <v>46299</v>
      </c>
      <c r="F6" s="39">
        <f t="shared" si="0"/>
        <v>46306</v>
      </c>
      <c r="G6" s="39">
        <f t="shared" si="0"/>
        <v>46313</v>
      </c>
      <c r="H6" s="39">
        <f t="shared" si="0"/>
        <v>46320</v>
      </c>
      <c r="I6" s="39">
        <f t="shared" si="0"/>
        <v>46327</v>
      </c>
      <c r="J6" s="39">
        <f t="shared" si="0"/>
        <v>46334</v>
      </c>
      <c r="K6" s="39">
        <f t="shared" si="0"/>
        <v>46341</v>
      </c>
      <c r="L6" s="39">
        <f t="shared" si="0"/>
        <v>46348</v>
      </c>
      <c r="M6" s="39">
        <f t="shared" si="0"/>
        <v>46355</v>
      </c>
      <c r="N6" s="39">
        <f t="shared" si="0"/>
        <v>46362</v>
      </c>
    </row>
    <row r="7" spans="1:14" ht="6" customHeight="1" x14ac:dyDescent="0.35"/>
    <row r="8" spans="1:14" ht="19.5" customHeight="1" x14ac:dyDescent="0.35">
      <c r="A8" s="40" t="s">
        <v>92</v>
      </c>
      <c r="B8" s="41">
        <f>ASSUMPTIONS!$C$9</f>
        <v>142500</v>
      </c>
      <c r="C8" s="41">
        <f t="shared" ref="C8:N8" si="1">B74</f>
        <v>157000</v>
      </c>
      <c r="D8" s="41">
        <f t="shared" si="1"/>
        <v>141755</v>
      </c>
      <c r="E8" s="41">
        <f t="shared" si="1"/>
        <v>169015</v>
      </c>
      <c r="F8" s="41">
        <f t="shared" si="1"/>
        <v>148825</v>
      </c>
      <c r="G8" s="41">
        <f t="shared" si="1"/>
        <v>169895</v>
      </c>
      <c r="H8" s="41">
        <f t="shared" si="1"/>
        <v>167210</v>
      </c>
      <c r="I8" s="41">
        <f t="shared" si="1"/>
        <v>148410</v>
      </c>
      <c r="J8" s="41">
        <f t="shared" si="1"/>
        <v>102810</v>
      </c>
      <c r="K8" s="41">
        <f t="shared" si="1"/>
        <v>125130</v>
      </c>
      <c r="L8" s="41">
        <f t="shared" si="1"/>
        <v>107975</v>
      </c>
      <c r="M8" s="41">
        <f t="shared" si="1"/>
        <v>119405</v>
      </c>
      <c r="N8" s="41">
        <f t="shared" si="1"/>
        <v>127875</v>
      </c>
    </row>
    <row r="9" spans="1:14" ht="7.5" customHeight="1" x14ac:dyDescent="0.35"/>
    <row r="10" spans="1:14" ht="18.75" customHeight="1" x14ac:dyDescent="0.35">
      <c r="A10" s="42" t="s">
        <v>93</v>
      </c>
      <c r="B10" s="43"/>
      <c r="C10" s="43"/>
      <c r="D10" s="43"/>
      <c r="E10" s="43"/>
      <c r="F10" s="43"/>
      <c r="G10" s="43"/>
      <c r="H10" s="43"/>
      <c r="I10" s="43"/>
      <c r="J10" s="43"/>
      <c r="K10" s="43"/>
      <c r="L10" s="43"/>
      <c r="M10" s="43"/>
      <c r="N10" s="43"/>
    </row>
    <row r="11" spans="1:14" ht="15.75" customHeight="1" x14ac:dyDescent="0.35">
      <c r="A11" s="44" t="s">
        <v>94</v>
      </c>
      <c r="B11" s="45">
        <v>39000</v>
      </c>
      <c r="C11" s="45">
        <v>34500</v>
      </c>
      <c r="D11" s="45">
        <v>45500</v>
      </c>
      <c r="E11" s="45">
        <v>31000</v>
      </c>
      <c r="F11" s="45">
        <v>42500</v>
      </c>
      <c r="G11" s="45">
        <v>35500</v>
      </c>
      <c r="H11" s="45">
        <v>27000</v>
      </c>
      <c r="I11" s="45">
        <v>29500</v>
      </c>
      <c r="J11" s="45">
        <v>31500</v>
      </c>
      <c r="K11" s="45">
        <v>41500</v>
      </c>
      <c r="L11" s="45">
        <v>36500</v>
      </c>
      <c r="M11" s="45">
        <v>48500</v>
      </c>
      <c r="N11" s="45">
        <v>38500</v>
      </c>
    </row>
    <row r="12" spans="1:14" ht="15.75" customHeight="1" x14ac:dyDescent="0.35">
      <c r="A12" s="44" t="s">
        <v>95</v>
      </c>
      <c r="B12" s="45">
        <v>0</v>
      </c>
      <c r="C12" s="45">
        <v>0</v>
      </c>
      <c r="D12" s="45">
        <v>1200</v>
      </c>
      <c r="E12" s="45">
        <v>0</v>
      </c>
      <c r="F12" s="45">
        <v>0</v>
      </c>
      <c r="G12" s="45">
        <v>0</v>
      </c>
      <c r="H12" s="45">
        <v>0</v>
      </c>
      <c r="I12" s="45">
        <v>900</v>
      </c>
      <c r="J12" s="45">
        <v>0</v>
      </c>
      <c r="K12" s="45">
        <v>0</v>
      </c>
      <c r="L12" s="45">
        <v>0</v>
      </c>
      <c r="M12" s="45">
        <v>1500</v>
      </c>
      <c r="N12" s="45">
        <v>0</v>
      </c>
    </row>
    <row r="13" spans="1:14" ht="15.75" customHeight="1" x14ac:dyDescent="0.35">
      <c r="A13" s="44" t="s">
        <v>96</v>
      </c>
      <c r="B13" s="45">
        <v>0</v>
      </c>
      <c r="C13" s="45">
        <v>0</v>
      </c>
      <c r="D13" s="45">
        <v>0</v>
      </c>
      <c r="E13" s="45">
        <v>0</v>
      </c>
      <c r="F13" s="45">
        <v>0</v>
      </c>
      <c r="G13" s="45">
        <v>4800</v>
      </c>
      <c r="H13" s="45">
        <v>0</v>
      </c>
      <c r="I13" s="45">
        <v>0</v>
      </c>
      <c r="J13" s="45">
        <v>0</v>
      </c>
      <c r="K13" s="45">
        <v>0</v>
      </c>
      <c r="L13" s="45">
        <v>0</v>
      </c>
      <c r="M13" s="45">
        <v>0</v>
      </c>
      <c r="N13" s="45">
        <v>0</v>
      </c>
    </row>
    <row r="14" spans="1:14" ht="15.75" customHeight="1" x14ac:dyDescent="0.35">
      <c r="A14" s="44" t="s">
        <v>97</v>
      </c>
      <c r="B14" s="45">
        <v>0</v>
      </c>
      <c r="C14" s="45">
        <v>0</v>
      </c>
      <c r="D14" s="45">
        <v>0</v>
      </c>
      <c r="E14" s="45">
        <v>0</v>
      </c>
      <c r="F14" s="45">
        <v>0</v>
      </c>
      <c r="G14" s="45">
        <v>0</v>
      </c>
      <c r="H14" s="45">
        <v>0</v>
      </c>
      <c r="I14" s="45">
        <v>0</v>
      </c>
      <c r="J14" s="45">
        <v>0</v>
      </c>
      <c r="K14" s="45">
        <v>0</v>
      </c>
      <c r="L14" s="45">
        <v>0</v>
      </c>
      <c r="M14" s="45">
        <v>0</v>
      </c>
      <c r="N14" s="45">
        <v>0</v>
      </c>
    </row>
    <row r="15" spans="1:14" ht="15.75" customHeight="1" x14ac:dyDescent="0.35">
      <c r="A15" s="44" t="s">
        <v>98</v>
      </c>
      <c r="B15" s="45">
        <v>0</v>
      </c>
      <c r="C15" s="45">
        <v>0</v>
      </c>
      <c r="D15" s="45">
        <v>0</v>
      </c>
      <c r="E15" s="45">
        <v>0</v>
      </c>
      <c r="F15" s="45">
        <v>0</v>
      </c>
      <c r="G15" s="45">
        <v>0</v>
      </c>
      <c r="H15" s="45">
        <v>0</v>
      </c>
      <c r="I15" s="45">
        <v>0</v>
      </c>
      <c r="J15" s="45">
        <v>0</v>
      </c>
      <c r="K15" s="45">
        <v>0</v>
      </c>
      <c r="L15" s="45">
        <v>0</v>
      </c>
      <c r="M15" s="45">
        <v>0</v>
      </c>
      <c r="N15" s="45">
        <v>0</v>
      </c>
    </row>
    <row r="16" spans="1:14" ht="15.75" customHeight="1" x14ac:dyDescent="0.35">
      <c r="A16" s="44" t="s">
        <v>99</v>
      </c>
      <c r="B16" s="45">
        <v>0</v>
      </c>
      <c r="C16" s="45">
        <v>0</v>
      </c>
      <c r="D16" s="45">
        <v>0</v>
      </c>
      <c r="E16" s="45">
        <v>0</v>
      </c>
      <c r="F16" s="45">
        <v>0</v>
      </c>
      <c r="G16" s="45">
        <v>0</v>
      </c>
      <c r="H16" s="45">
        <v>0</v>
      </c>
      <c r="I16" s="45">
        <v>0</v>
      </c>
      <c r="J16" s="45">
        <v>0</v>
      </c>
      <c r="K16" s="45">
        <v>0</v>
      </c>
      <c r="L16" s="45">
        <v>750</v>
      </c>
      <c r="M16" s="45">
        <v>0</v>
      </c>
      <c r="N16" s="45">
        <v>0</v>
      </c>
    </row>
    <row r="17" spans="1:14" ht="19.5" customHeight="1" x14ac:dyDescent="0.35">
      <c r="A17" s="36" t="s">
        <v>100</v>
      </c>
      <c r="B17" s="46">
        <f t="shared" ref="B17:N17" si="2">SUM(B11:B16)</f>
        <v>39000</v>
      </c>
      <c r="C17" s="46">
        <f t="shared" si="2"/>
        <v>34500</v>
      </c>
      <c r="D17" s="46">
        <f t="shared" si="2"/>
        <v>46700</v>
      </c>
      <c r="E17" s="46">
        <f t="shared" si="2"/>
        <v>31000</v>
      </c>
      <c r="F17" s="46">
        <f t="shared" si="2"/>
        <v>42500</v>
      </c>
      <c r="G17" s="46">
        <f t="shared" si="2"/>
        <v>40300</v>
      </c>
      <c r="H17" s="46">
        <f t="shared" si="2"/>
        <v>27000</v>
      </c>
      <c r="I17" s="46">
        <f t="shared" si="2"/>
        <v>30400</v>
      </c>
      <c r="J17" s="46">
        <f t="shared" si="2"/>
        <v>31500</v>
      </c>
      <c r="K17" s="46">
        <f t="shared" si="2"/>
        <v>41500</v>
      </c>
      <c r="L17" s="46">
        <f t="shared" si="2"/>
        <v>37250</v>
      </c>
      <c r="M17" s="46">
        <f t="shared" si="2"/>
        <v>50000</v>
      </c>
      <c r="N17" s="46">
        <f t="shared" si="2"/>
        <v>38500</v>
      </c>
    </row>
    <row r="18" spans="1:14" ht="7.5" customHeight="1" x14ac:dyDescent="0.35"/>
    <row r="19" spans="1:14" ht="18.75" customHeight="1" x14ac:dyDescent="0.35">
      <c r="A19" s="42" t="s">
        <v>101</v>
      </c>
      <c r="B19" s="43"/>
      <c r="C19" s="43"/>
      <c r="D19" s="43"/>
      <c r="E19" s="43"/>
      <c r="F19" s="43"/>
      <c r="G19" s="43"/>
      <c r="H19" s="43"/>
      <c r="I19" s="43"/>
      <c r="J19" s="43"/>
      <c r="K19" s="43"/>
      <c r="L19" s="43"/>
      <c r="M19" s="43"/>
      <c r="N19" s="43"/>
    </row>
    <row r="20" spans="1:14" ht="16.5" customHeight="1" x14ac:dyDescent="0.35">
      <c r="A20" s="47" t="s">
        <v>102</v>
      </c>
      <c r="B20" s="48"/>
      <c r="C20" s="48"/>
      <c r="D20" s="48"/>
      <c r="E20" s="48"/>
      <c r="F20" s="48"/>
      <c r="G20" s="48"/>
      <c r="H20" s="48"/>
      <c r="I20" s="48"/>
      <c r="J20" s="48"/>
      <c r="K20" s="48"/>
      <c r="L20" s="48"/>
      <c r="M20" s="48"/>
      <c r="N20" s="48"/>
    </row>
    <row r="21" spans="1:14" ht="15.75" customHeight="1" x14ac:dyDescent="0.35">
      <c r="A21" s="44" t="s">
        <v>103</v>
      </c>
      <c r="B21" s="45">
        <v>0</v>
      </c>
      <c r="C21" s="45">
        <v>30000</v>
      </c>
      <c r="D21" s="45">
        <v>0</v>
      </c>
      <c r="E21" s="45">
        <v>30000</v>
      </c>
      <c r="F21" s="45">
        <v>0</v>
      </c>
      <c r="G21" s="45">
        <v>30000</v>
      </c>
      <c r="H21" s="45">
        <v>0</v>
      </c>
      <c r="I21" s="45">
        <v>30000</v>
      </c>
      <c r="J21" s="45">
        <v>0</v>
      </c>
      <c r="K21" s="45">
        <v>30000</v>
      </c>
      <c r="L21" s="45">
        <v>0</v>
      </c>
      <c r="M21" s="45">
        <v>30000</v>
      </c>
      <c r="N21" s="45">
        <v>0</v>
      </c>
    </row>
    <row r="22" spans="1:14" ht="15.75" customHeight="1" x14ac:dyDescent="0.35">
      <c r="A22" s="44" t="s">
        <v>104</v>
      </c>
      <c r="B22" s="45">
        <v>0</v>
      </c>
      <c r="C22" s="45">
        <v>0</v>
      </c>
      <c r="D22" s="45">
        <v>15000</v>
      </c>
      <c r="E22" s="45">
        <v>0</v>
      </c>
      <c r="F22" s="45">
        <v>0</v>
      </c>
      <c r="G22" s="45">
        <v>0</v>
      </c>
      <c r="H22" s="45">
        <v>15000</v>
      </c>
      <c r="I22" s="45">
        <v>0</v>
      </c>
      <c r="J22" s="45">
        <v>0</v>
      </c>
      <c r="K22" s="45">
        <v>0</v>
      </c>
      <c r="L22" s="45">
        <v>15000</v>
      </c>
      <c r="M22" s="45">
        <v>0</v>
      </c>
      <c r="N22" s="45">
        <v>0</v>
      </c>
    </row>
    <row r="23" spans="1:14" ht="15.75" customHeight="1" x14ac:dyDescent="0.35">
      <c r="A23" s="44" t="s">
        <v>105</v>
      </c>
      <c r="B23" s="45">
        <v>0</v>
      </c>
      <c r="C23" s="45">
        <v>3200</v>
      </c>
      <c r="D23" s="45">
        <v>0</v>
      </c>
      <c r="E23" s="45">
        <v>0</v>
      </c>
      <c r="F23" s="45">
        <v>0</v>
      </c>
      <c r="G23" s="45">
        <v>3200</v>
      </c>
      <c r="H23" s="45">
        <v>0</v>
      </c>
      <c r="I23" s="45">
        <v>0</v>
      </c>
      <c r="J23" s="45">
        <v>0</v>
      </c>
      <c r="K23" s="45">
        <v>3200</v>
      </c>
      <c r="L23" s="45">
        <v>0</v>
      </c>
      <c r="M23" s="45">
        <v>0</v>
      </c>
      <c r="N23" s="45">
        <v>0</v>
      </c>
    </row>
    <row r="24" spans="1:14" ht="15.75" customHeight="1" x14ac:dyDescent="0.35">
      <c r="A24" s="44" t="s">
        <v>106</v>
      </c>
      <c r="B24" s="45">
        <v>0</v>
      </c>
      <c r="C24" s="45">
        <v>6500</v>
      </c>
      <c r="D24" s="45">
        <v>0</v>
      </c>
      <c r="E24" s="45">
        <v>0</v>
      </c>
      <c r="F24" s="45">
        <v>4200</v>
      </c>
      <c r="G24" s="45">
        <v>0</v>
      </c>
      <c r="H24" s="45">
        <v>0</v>
      </c>
      <c r="I24" s="45">
        <v>7800</v>
      </c>
      <c r="J24" s="45">
        <v>0</v>
      </c>
      <c r="K24" s="45">
        <v>0</v>
      </c>
      <c r="L24" s="45">
        <v>5100</v>
      </c>
      <c r="M24" s="45">
        <v>0</v>
      </c>
      <c r="N24" s="45">
        <v>0</v>
      </c>
    </row>
    <row r="25" spans="1:14" ht="16.5" customHeight="1" x14ac:dyDescent="0.35">
      <c r="A25" s="49" t="s">
        <v>107</v>
      </c>
      <c r="B25" s="50">
        <f t="shared" ref="B25:N25" si="3">SUM(B21:B24)</f>
        <v>0</v>
      </c>
      <c r="C25" s="50">
        <f t="shared" si="3"/>
        <v>39700</v>
      </c>
      <c r="D25" s="50">
        <f t="shared" si="3"/>
        <v>15000</v>
      </c>
      <c r="E25" s="50">
        <f t="shared" si="3"/>
        <v>30000</v>
      </c>
      <c r="F25" s="50">
        <f t="shared" si="3"/>
        <v>4200</v>
      </c>
      <c r="G25" s="50">
        <f t="shared" si="3"/>
        <v>33200</v>
      </c>
      <c r="H25" s="50">
        <f t="shared" si="3"/>
        <v>15000</v>
      </c>
      <c r="I25" s="50">
        <f t="shared" si="3"/>
        <v>37800</v>
      </c>
      <c r="J25" s="50">
        <f t="shared" si="3"/>
        <v>0</v>
      </c>
      <c r="K25" s="50">
        <f t="shared" si="3"/>
        <v>33200</v>
      </c>
      <c r="L25" s="50">
        <f t="shared" si="3"/>
        <v>20100</v>
      </c>
      <c r="M25" s="50">
        <f t="shared" si="3"/>
        <v>30000</v>
      </c>
      <c r="N25" s="50">
        <f t="shared" si="3"/>
        <v>0</v>
      </c>
    </row>
    <row r="26" spans="1:14" ht="7.5" customHeight="1" x14ac:dyDescent="0.35"/>
    <row r="27" spans="1:14" ht="16.5" customHeight="1" x14ac:dyDescent="0.35">
      <c r="A27" s="47" t="s">
        <v>108</v>
      </c>
      <c r="B27" s="48"/>
      <c r="C27" s="48"/>
      <c r="D27" s="48"/>
      <c r="E27" s="48"/>
      <c r="F27" s="48"/>
      <c r="G27" s="48"/>
      <c r="H27" s="48"/>
      <c r="I27" s="48"/>
      <c r="J27" s="48"/>
      <c r="K27" s="48"/>
      <c r="L27" s="48"/>
      <c r="M27" s="48"/>
      <c r="N27" s="48"/>
    </row>
    <row r="28" spans="1:14" ht="15.75" customHeight="1" x14ac:dyDescent="0.35">
      <c r="A28" s="44" t="s">
        <v>109</v>
      </c>
      <c r="B28" s="45">
        <v>8400</v>
      </c>
      <c r="C28" s="45">
        <v>0</v>
      </c>
      <c r="D28" s="45">
        <v>0</v>
      </c>
      <c r="E28" s="45">
        <v>0</v>
      </c>
      <c r="F28" s="45">
        <v>8400</v>
      </c>
      <c r="G28" s="45">
        <v>0</v>
      </c>
      <c r="H28" s="45">
        <v>0</v>
      </c>
      <c r="I28" s="45">
        <v>0</v>
      </c>
      <c r="J28" s="45">
        <v>0</v>
      </c>
      <c r="K28" s="45">
        <v>8400</v>
      </c>
      <c r="L28" s="45">
        <v>0</v>
      </c>
      <c r="M28" s="45">
        <v>0</v>
      </c>
      <c r="N28" s="45">
        <v>0</v>
      </c>
    </row>
    <row r="29" spans="1:14" ht="15.75" customHeight="1" x14ac:dyDescent="0.35">
      <c r="A29" s="44" t="s">
        <v>110</v>
      </c>
      <c r="B29" s="45">
        <v>0</v>
      </c>
      <c r="C29" s="45">
        <v>950</v>
      </c>
      <c r="D29" s="45">
        <v>0</v>
      </c>
      <c r="E29" s="45">
        <v>0</v>
      </c>
      <c r="F29" s="45">
        <v>0</v>
      </c>
      <c r="G29" s="45">
        <v>0</v>
      </c>
      <c r="H29" s="45">
        <v>880</v>
      </c>
      <c r="I29" s="45">
        <v>0</v>
      </c>
      <c r="J29" s="45">
        <v>0</v>
      </c>
      <c r="K29" s="45">
        <v>0</v>
      </c>
      <c r="L29" s="45">
        <v>1020</v>
      </c>
      <c r="M29" s="45">
        <v>0</v>
      </c>
      <c r="N29" s="45">
        <v>0</v>
      </c>
    </row>
    <row r="30" spans="1:14" ht="15.75" customHeight="1" x14ac:dyDescent="0.35">
      <c r="A30" s="44" t="s">
        <v>111</v>
      </c>
      <c r="B30" s="45">
        <v>1450</v>
      </c>
      <c r="C30" s="45">
        <v>0</v>
      </c>
      <c r="D30" s="45">
        <v>0</v>
      </c>
      <c r="E30" s="45">
        <v>0</v>
      </c>
      <c r="F30" s="45">
        <v>1450</v>
      </c>
      <c r="G30" s="45">
        <v>0</v>
      </c>
      <c r="H30" s="45">
        <v>0</v>
      </c>
      <c r="I30" s="45">
        <v>0</v>
      </c>
      <c r="J30" s="45">
        <v>1450</v>
      </c>
      <c r="K30" s="45">
        <v>0</v>
      </c>
      <c r="L30" s="45">
        <v>0</v>
      </c>
      <c r="M30" s="45">
        <v>0</v>
      </c>
      <c r="N30" s="45">
        <v>0</v>
      </c>
    </row>
    <row r="31" spans="1:14" ht="15.75" customHeight="1" x14ac:dyDescent="0.35">
      <c r="A31" s="44" t="s">
        <v>112</v>
      </c>
      <c r="B31" s="45">
        <v>2350</v>
      </c>
      <c r="C31" s="45">
        <v>0</v>
      </c>
      <c r="D31" s="45">
        <v>0</v>
      </c>
      <c r="E31" s="45">
        <v>0</v>
      </c>
      <c r="F31" s="45">
        <v>2350</v>
      </c>
      <c r="G31" s="45">
        <v>0</v>
      </c>
      <c r="H31" s="45">
        <v>0</v>
      </c>
      <c r="I31" s="45">
        <v>0</v>
      </c>
      <c r="J31" s="45">
        <v>2350</v>
      </c>
      <c r="K31" s="45">
        <v>0</v>
      </c>
      <c r="L31" s="45">
        <v>0</v>
      </c>
      <c r="M31" s="45">
        <v>0</v>
      </c>
      <c r="N31" s="45">
        <v>0</v>
      </c>
    </row>
    <row r="32" spans="1:14" ht="15.75" customHeight="1" x14ac:dyDescent="0.35">
      <c r="A32" s="44" t="s">
        <v>113</v>
      </c>
      <c r="B32" s="45">
        <v>0</v>
      </c>
      <c r="C32" s="45">
        <v>3800</v>
      </c>
      <c r="D32" s="45">
        <v>0</v>
      </c>
      <c r="E32" s="45">
        <v>0</v>
      </c>
      <c r="F32" s="45">
        <v>0</v>
      </c>
      <c r="G32" s="45">
        <v>2900</v>
      </c>
      <c r="H32" s="45">
        <v>0</v>
      </c>
      <c r="I32" s="45">
        <v>1500</v>
      </c>
      <c r="J32" s="45">
        <v>0</v>
      </c>
      <c r="K32" s="45">
        <v>4200</v>
      </c>
      <c r="L32" s="45">
        <v>0</v>
      </c>
      <c r="M32" s="45">
        <v>0</v>
      </c>
      <c r="N32" s="45">
        <v>0</v>
      </c>
    </row>
    <row r="33" spans="1:14" ht="15.75" customHeight="1" x14ac:dyDescent="0.35">
      <c r="A33" s="44" t="s">
        <v>114</v>
      </c>
      <c r="B33" s="45">
        <v>0</v>
      </c>
      <c r="C33" s="45">
        <v>0</v>
      </c>
      <c r="D33" s="45">
        <v>0</v>
      </c>
      <c r="E33" s="45">
        <v>5500</v>
      </c>
      <c r="F33" s="45">
        <v>0</v>
      </c>
      <c r="G33" s="45">
        <v>0</v>
      </c>
      <c r="H33" s="45">
        <v>0</v>
      </c>
      <c r="I33" s="45">
        <v>0</v>
      </c>
      <c r="J33" s="45">
        <v>0</v>
      </c>
      <c r="K33" s="45">
        <v>0</v>
      </c>
      <c r="L33" s="45">
        <v>0</v>
      </c>
      <c r="M33" s="45">
        <v>3200</v>
      </c>
      <c r="N33" s="45">
        <v>0</v>
      </c>
    </row>
    <row r="34" spans="1:14" ht="15.75" customHeight="1" x14ac:dyDescent="0.35">
      <c r="A34" s="44" t="s">
        <v>115</v>
      </c>
      <c r="B34" s="45">
        <v>0</v>
      </c>
      <c r="C34" s="45">
        <v>0</v>
      </c>
      <c r="D34" s="45">
        <v>0</v>
      </c>
      <c r="E34" s="45">
        <v>0</v>
      </c>
      <c r="F34" s="45">
        <v>0</v>
      </c>
      <c r="G34" s="45">
        <v>1250</v>
      </c>
      <c r="H34" s="45">
        <v>0</v>
      </c>
      <c r="I34" s="45">
        <v>0</v>
      </c>
      <c r="J34" s="45">
        <v>0</v>
      </c>
      <c r="K34" s="45">
        <v>0</v>
      </c>
      <c r="L34" s="45">
        <v>2400</v>
      </c>
      <c r="M34" s="45">
        <v>0</v>
      </c>
      <c r="N34" s="45">
        <v>0</v>
      </c>
    </row>
    <row r="35" spans="1:14" ht="15.75" customHeight="1" x14ac:dyDescent="0.35">
      <c r="A35" s="44" t="s">
        <v>116</v>
      </c>
      <c r="B35" s="45">
        <v>850</v>
      </c>
      <c r="C35" s="45">
        <v>620</v>
      </c>
      <c r="D35" s="45">
        <v>740</v>
      </c>
      <c r="E35" s="45">
        <v>690</v>
      </c>
      <c r="F35" s="45">
        <v>810</v>
      </c>
      <c r="G35" s="45">
        <v>660</v>
      </c>
      <c r="H35" s="45">
        <v>720</v>
      </c>
      <c r="I35" s="45">
        <v>900</v>
      </c>
      <c r="J35" s="45">
        <v>640</v>
      </c>
      <c r="K35" s="45">
        <v>780</v>
      </c>
      <c r="L35" s="45">
        <v>700</v>
      </c>
      <c r="M35" s="45">
        <v>830</v>
      </c>
      <c r="N35" s="45">
        <v>690</v>
      </c>
    </row>
    <row r="36" spans="1:14" ht="15.75" customHeight="1" x14ac:dyDescent="0.35">
      <c r="A36" s="44" t="s">
        <v>117</v>
      </c>
      <c r="B36" s="45">
        <v>0</v>
      </c>
      <c r="C36" s="45">
        <v>0</v>
      </c>
      <c r="D36" s="45">
        <v>1800</v>
      </c>
      <c r="E36" s="45">
        <v>0</v>
      </c>
      <c r="F36" s="45">
        <v>0</v>
      </c>
      <c r="G36" s="45">
        <v>0</v>
      </c>
      <c r="H36" s="45">
        <v>2200</v>
      </c>
      <c r="I36" s="45">
        <v>0</v>
      </c>
      <c r="J36" s="45">
        <v>0</v>
      </c>
      <c r="K36" s="45">
        <v>0</v>
      </c>
      <c r="L36" s="45">
        <v>1600</v>
      </c>
      <c r="M36" s="45">
        <v>0</v>
      </c>
      <c r="N36" s="45">
        <v>0</v>
      </c>
    </row>
    <row r="37" spans="1:14" ht="15.75" customHeight="1" x14ac:dyDescent="0.35">
      <c r="A37" s="44" t="s">
        <v>118</v>
      </c>
      <c r="B37" s="45">
        <v>0</v>
      </c>
      <c r="C37" s="45">
        <v>0</v>
      </c>
      <c r="D37" s="45">
        <v>0</v>
      </c>
      <c r="E37" s="45">
        <v>700</v>
      </c>
      <c r="F37" s="45">
        <v>0</v>
      </c>
      <c r="G37" s="45">
        <v>0</v>
      </c>
      <c r="H37" s="45">
        <v>0</v>
      </c>
      <c r="I37" s="45">
        <v>0</v>
      </c>
      <c r="J37" s="45">
        <v>550</v>
      </c>
      <c r="K37" s="45">
        <v>0</v>
      </c>
      <c r="L37" s="45">
        <v>0</v>
      </c>
      <c r="M37" s="45">
        <v>0</v>
      </c>
      <c r="N37" s="45">
        <v>0</v>
      </c>
    </row>
    <row r="38" spans="1:14" ht="16.5" customHeight="1" x14ac:dyDescent="0.35">
      <c r="A38" s="49" t="s">
        <v>119</v>
      </c>
      <c r="B38" s="50">
        <f t="shared" ref="B38:N38" si="4">SUM(B28:B37)</f>
        <v>13050</v>
      </c>
      <c r="C38" s="50">
        <f t="shared" si="4"/>
        <v>5370</v>
      </c>
      <c r="D38" s="50">
        <f t="shared" si="4"/>
        <v>2540</v>
      </c>
      <c r="E38" s="50">
        <f t="shared" si="4"/>
        <v>6890</v>
      </c>
      <c r="F38" s="50">
        <f t="shared" si="4"/>
        <v>13010</v>
      </c>
      <c r="G38" s="50">
        <f t="shared" si="4"/>
        <v>4810</v>
      </c>
      <c r="H38" s="50">
        <f t="shared" si="4"/>
        <v>3800</v>
      </c>
      <c r="I38" s="50">
        <f t="shared" si="4"/>
        <v>2400</v>
      </c>
      <c r="J38" s="50">
        <f t="shared" si="4"/>
        <v>4990</v>
      </c>
      <c r="K38" s="50">
        <f t="shared" si="4"/>
        <v>13380</v>
      </c>
      <c r="L38" s="50">
        <f t="shared" si="4"/>
        <v>5720</v>
      </c>
      <c r="M38" s="50">
        <f t="shared" si="4"/>
        <v>4030</v>
      </c>
      <c r="N38" s="50">
        <f t="shared" si="4"/>
        <v>690</v>
      </c>
    </row>
    <row r="39" spans="1:14" ht="7.5" customHeight="1" x14ac:dyDescent="0.35"/>
    <row r="40" spans="1:14" ht="16.5" customHeight="1" x14ac:dyDescent="0.35">
      <c r="A40" s="47" t="s">
        <v>120</v>
      </c>
      <c r="B40" s="48"/>
      <c r="C40" s="48"/>
      <c r="D40" s="48"/>
      <c r="E40" s="48"/>
      <c r="F40" s="48"/>
      <c r="G40" s="48"/>
      <c r="H40" s="48"/>
      <c r="I40" s="48"/>
      <c r="J40" s="48"/>
      <c r="K40" s="48"/>
      <c r="L40" s="48"/>
      <c r="M40" s="48"/>
      <c r="N40" s="48"/>
    </row>
    <row r="41" spans="1:14" ht="15.75" customHeight="1" x14ac:dyDescent="0.35">
      <c r="A41" s="44" t="s">
        <v>121</v>
      </c>
      <c r="B41" s="45">
        <v>0</v>
      </c>
      <c r="C41" s="45">
        <v>2800</v>
      </c>
      <c r="D41" s="45">
        <v>0</v>
      </c>
      <c r="E41" s="45">
        <v>0</v>
      </c>
      <c r="F41" s="45">
        <v>0</v>
      </c>
      <c r="G41" s="45">
        <v>3100</v>
      </c>
      <c r="H41" s="45">
        <v>0</v>
      </c>
      <c r="I41" s="45">
        <v>0</v>
      </c>
      <c r="J41" s="45">
        <v>0</v>
      </c>
      <c r="K41" s="45">
        <v>2600</v>
      </c>
      <c r="L41" s="45">
        <v>0</v>
      </c>
      <c r="M41" s="45">
        <v>0</v>
      </c>
      <c r="N41" s="45">
        <v>0</v>
      </c>
    </row>
    <row r="42" spans="1:14" ht="15.75" customHeight="1" x14ac:dyDescent="0.35">
      <c r="A42" s="44" t="s">
        <v>122</v>
      </c>
      <c r="B42" s="45">
        <v>7200</v>
      </c>
      <c r="C42" s="45">
        <v>0</v>
      </c>
      <c r="D42" s="45">
        <v>0</v>
      </c>
      <c r="E42" s="45">
        <v>6800</v>
      </c>
      <c r="F42" s="45">
        <v>0</v>
      </c>
      <c r="G42" s="45">
        <v>0</v>
      </c>
      <c r="H42" s="45">
        <v>8400</v>
      </c>
      <c r="I42" s="45">
        <v>0</v>
      </c>
      <c r="J42" s="45">
        <v>0</v>
      </c>
      <c r="K42" s="45">
        <v>7600</v>
      </c>
      <c r="L42" s="45">
        <v>0</v>
      </c>
      <c r="M42" s="45">
        <v>0</v>
      </c>
      <c r="N42" s="45">
        <v>6900</v>
      </c>
    </row>
    <row r="43" spans="1:14" ht="15.75" customHeight="1" x14ac:dyDescent="0.35">
      <c r="A43" s="44" t="s">
        <v>123</v>
      </c>
      <c r="B43" s="45">
        <v>0</v>
      </c>
      <c r="C43" s="45">
        <v>0</v>
      </c>
      <c r="D43" s="45">
        <v>1900</v>
      </c>
      <c r="E43" s="45">
        <v>0</v>
      </c>
      <c r="F43" s="45">
        <v>0</v>
      </c>
      <c r="G43" s="45">
        <v>0</v>
      </c>
      <c r="H43" s="45">
        <v>0</v>
      </c>
      <c r="I43" s="45">
        <v>2300</v>
      </c>
      <c r="J43" s="45">
        <v>0</v>
      </c>
      <c r="K43" s="45">
        <v>0</v>
      </c>
      <c r="L43" s="45">
        <v>0</v>
      </c>
      <c r="M43" s="45">
        <v>0</v>
      </c>
      <c r="N43" s="45">
        <v>0</v>
      </c>
    </row>
    <row r="44" spans="1:14" ht="16.5" customHeight="1" x14ac:dyDescent="0.35">
      <c r="A44" s="49" t="s">
        <v>124</v>
      </c>
      <c r="B44" s="50">
        <f t="shared" ref="B44:N44" si="5">SUM(B41:B43)</f>
        <v>7200</v>
      </c>
      <c r="C44" s="50">
        <f t="shared" si="5"/>
        <v>2800</v>
      </c>
      <c r="D44" s="50">
        <f t="shared" si="5"/>
        <v>1900</v>
      </c>
      <c r="E44" s="50">
        <f t="shared" si="5"/>
        <v>6800</v>
      </c>
      <c r="F44" s="50">
        <f t="shared" si="5"/>
        <v>0</v>
      </c>
      <c r="G44" s="50">
        <f t="shared" si="5"/>
        <v>3100</v>
      </c>
      <c r="H44" s="50">
        <f t="shared" si="5"/>
        <v>8400</v>
      </c>
      <c r="I44" s="50">
        <f t="shared" si="5"/>
        <v>2300</v>
      </c>
      <c r="J44" s="50">
        <f t="shared" si="5"/>
        <v>0</v>
      </c>
      <c r="K44" s="50">
        <f t="shared" si="5"/>
        <v>10200</v>
      </c>
      <c r="L44" s="50">
        <f t="shared" si="5"/>
        <v>0</v>
      </c>
      <c r="M44" s="50">
        <f t="shared" si="5"/>
        <v>0</v>
      </c>
      <c r="N44" s="50">
        <f t="shared" si="5"/>
        <v>6900</v>
      </c>
    </row>
    <row r="45" spans="1:14" ht="7.5" customHeight="1" x14ac:dyDescent="0.35"/>
    <row r="46" spans="1:14" ht="16.5" customHeight="1" x14ac:dyDescent="0.35">
      <c r="A46" s="47" t="s">
        <v>125</v>
      </c>
      <c r="B46" s="48"/>
      <c r="C46" s="48"/>
      <c r="D46" s="48"/>
      <c r="E46" s="48"/>
      <c r="F46" s="48"/>
      <c r="G46" s="48"/>
      <c r="H46" s="48"/>
      <c r="I46" s="48"/>
      <c r="J46" s="48"/>
      <c r="K46" s="48"/>
      <c r="L46" s="48"/>
      <c r="M46" s="48"/>
      <c r="N46" s="48"/>
    </row>
    <row r="47" spans="1:14" ht="15.75" customHeight="1" x14ac:dyDescent="0.35">
      <c r="A47" s="44" t="s">
        <v>126</v>
      </c>
      <c r="B47" s="45">
        <v>0</v>
      </c>
      <c r="C47" s="45">
        <v>0</v>
      </c>
      <c r="D47" s="45">
        <v>0</v>
      </c>
      <c r="E47" s="45">
        <v>0</v>
      </c>
      <c r="F47" s="45">
        <v>0</v>
      </c>
      <c r="G47" s="45">
        <v>0</v>
      </c>
      <c r="H47" s="45">
        <v>18600</v>
      </c>
      <c r="I47" s="45">
        <v>0</v>
      </c>
      <c r="J47" s="45">
        <v>0</v>
      </c>
      <c r="K47" s="45">
        <v>0</v>
      </c>
      <c r="L47" s="45">
        <v>0</v>
      </c>
      <c r="M47" s="45">
        <v>0</v>
      </c>
      <c r="N47" s="45">
        <v>0</v>
      </c>
    </row>
    <row r="48" spans="1:14" ht="15.75" customHeight="1" x14ac:dyDescent="0.35">
      <c r="A48" s="44" t="s">
        <v>127</v>
      </c>
      <c r="B48" s="45">
        <v>0</v>
      </c>
      <c r="C48" s="45">
        <v>0</v>
      </c>
      <c r="D48" s="45">
        <v>0</v>
      </c>
      <c r="E48" s="45">
        <v>0</v>
      </c>
      <c r="F48" s="45">
        <v>0</v>
      </c>
      <c r="G48" s="45">
        <v>0</v>
      </c>
      <c r="H48" s="45">
        <v>0</v>
      </c>
      <c r="I48" s="45">
        <v>9500</v>
      </c>
      <c r="J48" s="45">
        <v>0</v>
      </c>
      <c r="K48" s="45">
        <v>0</v>
      </c>
      <c r="L48" s="45">
        <v>0</v>
      </c>
      <c r="M48" s="45">
        <v>0</v>
      </c>
      <c r="N48" s="45">
        <v>0</v>
      </c>
    </row>
    <row r="49" spans="1:14" ht="15.75" customHeight="1" x14ac:dyDescent="0.35">
      <c r="A49" s="44" t="s">
        <v>128</v>
      </c>
      <c r="B49" s="45">
        <v>0</v>
      </c>
      <c r="C49" s="45">
        <v>0</v>
      </c>
      <c r="D49" s="45">
        <v>0</v>
      </c>
      <c r="E49" s="45">
        <v>0</v>
      </c>
      <c r="F49" s="45">
        <v>0</v>
      </c>
      <c r="G49" s="45">
        <v>0</v>
      </c>
      <c r="H49" s="45">
        <v>0</v>
      </c>
      <c r="I49" s="45">
        <v>0</v>
      </c>
      <c r="J49" s="45">
        <v>0</v>
      </c>
      <c r="K49" s="45">
        <v>0</v>
      </c>
      <c r="L49" s="45">
        <v>0</v>
      </c>
      <c r="M49" s="45">
        <v>0</v>
      </c>
      <c r="N49" s="45">
        <v>0</v>
      </c>
    </row>
    <row r="50" spans="1:14" ht="16.5" customHeight="1" x14ac:dyDescent="0.35">
      <c r="A50" s="49" t="s">
        <v>129</v>
      </c>
      <c r="B50" s="50">
        <f t="shared" ref="B50:N50" si="6">SUM(B47:B49)</f>
        <v>0</v>
      </c>
      <c r="C50" s="50">
        <f t="shared" si="6"/>
        <v>0</v>
      </c>
      <c r="D50" s="50">
        <f t="shared" si="6"/>
        <v>0</v>
      </c>
      <c r="E50" s="50">
        <f t="shared" si="6"/>
        <v>0</v>
      </c>
      <c r="F50" s="50">
        <f t="shared" si="6"/>
        <v>0</v>
      </c>
      <c r="G50" s="50">
        <f t="shared" si="6"/>
        <v>0</v>
      </c>
      <c r="H50" s="50">
        <f t="shared" si="6"/>
        <v>18600</v>
      </c>
      <c r="I50" s="50">
        <f t="shared" si="6"/>
        <v>9500</v>
      </c>
      <c r="J50" s="50">
        <f t="shared" si="6"/>
        <v>0</v>
      </c>
      <c r="K50" s="50">
        <f t="shared" si="6"/>
        <v>0</v>
      </c>
      <c r="L50" s="50">
        <f t="shared" si="6"/>
        <v>0</v>
      </c>
      <c r="M50" s="50">
        <f t="shared" si="6"/>
        <v>0</v>
      </c>
      <c r="N50" s="50">
        <f t="shared" si="6"/>
        <v>0</v>
      </c>
    </row>
    <row r="51" spans="1:14" ht="7.5" customHeight="1" x14ac:dyDescent="0.35"/>
    <row r="52" spans="1:14" ht="16.5" customHeight="1" x14ac:dyDescent="0.35">
      <c r="A52" s="47" t="s">
        <v>130</v>
      </c>
      <c r="B52" s="48"/>
      <c r="C52" s="48"/>
      <c r="D52" s="48"/>
      <c r="E52" s="48"/>
      <c r="F52" s="48"/>
      <c r="G52" s="48"/>
      <c r="H52" s="48"/>
      <c r="I52" s="48"/>
      <c r="J52" s="48"/>
      <c r="K52" s="48"/>
      <c r="L52" s="48"/>
      <c r="M52" s="48"/>
      <c r="N52" s="48"/>
    </row>
    <row r="53" spans="1:14" ht="15.75" customHeight="1" x14ac:dyDescent="0.35">
      <c r="A53" s="44" t="s">
        <v>131</v>
      </c>
      <c r="B53" s="45">
        <v>3100</v>
      </c>
      <c r="C53" s="45">
        <v>0</v>
      </c>
      <c r="D53" s="45">
        <v>0</v>
      </c>
      <c r="E53" s="45">
        <v>0</v>
      </c>
      <c r="F53" s="45">
        <v>3100</v>
      </c>
      <c r="G53" s="45">
        <v>0</v>
      </c>
      <c r="H53" s="45">
        <v>0</v>
      </c>
      <c r="I53" s="45">
        <v>0</v>
      </c>
      <c r="J53" s="45">
        <v>3100</v>
      </c>
      <c r="K53" s="45">
        <v>0</v>
      </c>
      <c r="L53" s="45">
        <v>0</v>
      </c>
      <c r="M53" s="45">
        <v>0</v>
      </c>
      <c r="N53" s="45">
        <v>3100</v>
      </c>
    </row>
    <row r="54" spans="1:14" ht="15.75" customHeight="1" x14ac:dyDescent="0.35">
      <c r="A54" s="44" t="s">
        <v>132</v>
      </c>
      <c r="B54" s="45">
        <v>1150</v>
      </c>
      <c r="C54" s="45">
        <v>0</v>
      </c>
      <c r="D54" s="45">
        <v>0</v>
      </c>
      <c r="E54" s="45">
        <v>0</v>
      </c>
      <c r="F54" s="45">
        <v>1120</v>
      </c>
      <c r="G54" s="45">
        <v>0</v>
      </c>
      <c r="H54" s="45">
        <v>0</v>
      </c>
      <c r="I54" s="45">
        <v>0</v>
      </c>
      <c r="J54" s="45">
        <v>1090</v>
      </c>
      <c r="K54" s="45">
        <v>0</v>
      </c>
      <c r="L54" s="45">
        <v>0</v>
      </c>
      <c r="M54" s="45">
        <v>0</v>
      </c>
      <c r="N54" s="45">
        <v>1060</v>
      </c>
    </row>
    <row r="55" spans="1:14" ht="15.75" customHeight="1" x14ac:dyDescent="0.35">
      <c r="A55" s="44" t="s">
        <v>133</v>
      </c>
      <c r="B55" s="45">
        <v>0</v>
      </c>
      <c r="C55" s="45">
        <v>0</v>
      </c>
      <c r="D55" s="45">
        <v>0</v>
      </c>
      <c r="E55" s="45">
        <v>0</v>
      </c>
      <c r="F55" s="45">
        <v>0</v>
      </c>
      <c r="G55" s="45">
        <v>0</v>
      </c>
      <c r="H55" s="45">
        <v>0</v>
      </c>
      <c r="I55" s="45">
        <v>0</v>
      </c>
      <c r="J55" s="45">
        <v>0</v>
      </c>
      <c r="K55" s="45">
        <v>0</v>
      </c>
      <c r="L55" s="45">
        <v>0</v>
      </c>
      <c r="M55" s="45">
        <v>0</v>
      </c>
      <c r="N55" s="45">
        <v>0</v>
      </c>
    </row>
    <row r="56" spans="1:14" ht="15.75" customHeight="1" x14ac:dyDescent="0.35">
      <c r="A56" s="44" t="s">
        <v>134</v>
      </c>
      <c r="B56" s="45">
        <v>0</v>
      </c>
      <c r="C56" s="45">
        <v>1875</v>
      </c>
      <c r="D56" s="45">
        <v>0</v>
      </c>
      <c r="E56" s="45">
        <v>0</v>
      </c>
      <c r="F56" s="45">
        <v>0</v>
      </c>
      <c r="G56" s="45">
        <v>1875</v>
      </c>
      <c r="H56" s="45">
        <v>0</v>
      </c>
      <c r="I56" s="45">
        <v>0</v>
      </c>
      <c r="J56" s="45">
        <v>0</v>
      </c>
      <c r="K56" s="45">
        <v>1875</v>
      </c>
      <c r="L56" s="45">
        <v>0</v>
      </c>
      <c r="M56" s="45">
        <v>0</v>
      </c>
      <c r="N56" s="45">
        <v>0</v>
      </c>
    </row>
    <row r="57" spans="1:14" ht="16.5" customHeight="1" x14ac:dyDescent="0.35">
      <c r="A57" s="49" t="s">
        <v>135</v>
      </c>
      <c r="B57" s="50">
        <f t="shared" ref="B57:N57" si="7">SUM(B53:B56)</f>
        <v>4250</v>
      </c>
      <c r="C57" s="50">
        <f t="shared" si="7"/>
        <v>1875</v>
      </c>
      <c r="D57" s="50">
        <f t="shared" si="7"/>
        <v>0</v>
      </c>
      <c r="E57" s="50">
        <f t="shared" si="7"/>
        <v>0</v>
      </c>
      <c r="F57" s="50">
        <f t="shared" si="7"/>
        <v>4220</v>
      </c>
      <c r="G57" s="50">
        <f t="shared" si="7"/>
        <v>1875</v>
      </c>
      <c r="H57" s="50">
        <f t="shared" si="7"/>
        <v>0</v>
      </c>
      <c r="I57" s="50">
        <f t="shared" si="7"/>
        <v>0</v>
      </c>
      <c r="J57" s="50">
        <f t="shared" si="7"/>
        <v>4190</v>
      </c>
      <c r="K57" s="50">
        <f t="shared" si="7"/>
        <v>1875</v>
      </c>
      <c r="L57" s="50">
        <f t="shared" si="7"/>
        <v>0</v>
      </c>
      <c r="M57" s="50">
        <f t="shared" si="7"/>
        <v>0</v>
      </c>
      <c r="N57" s="50">
        <f t="shared" si="7"/>
        <v>4160</v>
      </c>
    </row>
    <row r="58" spans="1:14" ht="7.5" customHeight="1" x14ac:dyDescent="0.35"/>
    <row r="59" spans="1:14" ht="16.5" customHeight="1" x14ac:dyDescent="0.35">
      <c r="A59" s="47" t="s">
        <v>136</v>
      </c>
      <c r="B59" s="48"/>
      <c r="C59" s="48"/>
      <c r="D59" s="48"/>
      <c r="E59" s="48"/>
      <c r="F59" s="48"/>
      <c r="G59" s="48"/>
      <c r="H59" s="48"/>
      <c r="I59" s="48"/>
      <c r="J59" s="48"/>
      <c r="K59" s="48"/>
      <c r="L59" s="48"/>
      <c r="M59" s="48"/>
      <c r="N59" s="48"/>
    </row>
    <row r="60" spans="1:14" ht="15.75" customHeight="1" x14ac:dyDescent="0.35">
      <c r="A60" s="44" t="s">
        <v>137</v>
      </c>
      <c r="B60" s="45">
        <v>0</v>
      </c>
      <c r="C60" s="45">
        <v>0</v>
      </c>
      <c r="D60" s="45">
        <v>0</v>
      </c>
      <c r="E60" s="45">
        <v>0</v>
      </c>
      <c r="F60" s="45">
        <v>0</v>
      </c>
      <c r="G60" s="45">
        <v>0</v>
      </c>
      <c r="H60" s="45">
        <v>0</v>
      </c>
      <c r="I60" s="45">
        <v>16500</v>
      </c>
      <c r="J60" s="45">
        <v>0</v>
      </c>
      <c r="K60" s="45">
        <v>0</v>
      </c>
      <c r="L60" s="45">
        <v>0</v>
      </c>
      <c r="M60" s="45">
        <v>0</v>
      </c>
      <c r="N60" s="45">
        <v>0</v>
      </c>
    </row>
    <row r="61" spans="1:14" ht="15.75" customHeight="1" x14ac:dyDescent="0.35">
      <c r="A61" s="44" t="s">
        <v>138</v>
      </c>
      <c r="B61" s="45">
        <v>0</v>
      </c>
      <c r="C61" s="45">
        <v>0</v>
      </c>
      <c r="D61" s="45">
        <v>0</v>
      </c>
      <c r="E61" s="45">
        <v>0</v>
      </c>
      <c r="F61" s="45">
        <v>0</v>
      </c>
      <c r="G61" s="45">
        <v>0</v>
      </c>
      <c r="H61" s="45">
        <v>0</v>
      </c>
      <c r="I61" s="45">
        <v>0</v>
      </c>
      <c r="J61" s="45">
        <v>0</v>
      </c>
      <c r="K61" s="45">
        <v>0</v>
      </c>
      <c r="L61" s="45">
        <v>0</v>
      </c>
      <c r="M61" s="45">
        <v>0</v>
      </c>
      <c r="N61" s="45">
        <v>0</v>
      </c>
    </row>
    <row r="62" spans="1:14" ht="15.75" customHeight="1" x14ac:dyDescent="0.35">
      <c r="A62" s="44" t="s">
        <v>139</v>
      </c>
      <c r="B62" s="45">
        <v>0</v>
      </c>
      <c r="C62" s="45">
        <v>0</v>
      </c>
      <c r="D62" s="45">
        <v>0</v>
      </c>
      <c r="E62" s="45">
        <v>7500</v>
      </c>
      <c r="F62" s="45">
        <v>0</v>
      </c>
      <c r="G62" s="45">
        <v>0</v>
      </c>
      <c r="H62" s="45">
        <v>0</v>
      </c>
      <c r="I62" s="45">
        <v>7500</v>
      </c>
      <c r="J62" s="45">
        <v>0</v>
      </c>
      <c r="K62" s="45">
        <v>0</v>
      </c>
      <c r="L62" s="45">
        <v>0</v>
      </c>
      <c r="M62" s="45">
        <v>7500</v>
      </c>
      <c r="N62" s="45">
        <v>0</v>
      </c>
    </row>
    <row r="63" spans="1:14" ht="15.75" customHeight="1" x14ac:dyDescent="0.35">
      <c r="A63" s="44" t="s">
        <v>140</v>
      </c>
      <c r="B63" s="45">
        <v>0</v>
      </c>
      <c r="C63" s="45">
        <v>0</v>
      </c>
      <c r="D63" s="45">
        <v>0</v>
      </c>
      <c r="E63" s="45">
        <v>0</v>
      </c>
      <c r="F63" s="45">
        <v>0</v>
      </c>
      <c r="G63" s="45">
        <v>0</v>
      </c>
      <c r="H63" s="45">
        <v>0</v>
      </c>
      <c r="I63" s="45">
        <v>0</v>
      </c>
      <c r="J63" s="45">
        <v>0</v>
      </c>
      <c r="K63" s="45">
        <v>0</v>
      </c>
      <c r="L63" s="45">
        <v>0</v>
      </c>
      <c r="M63" s="45">
        <v>0</v>
      </c>
      <c r="N63" s="45">
        <v>0</v>
      </c>
    </row>
    <row r="64" spans="1:14" ht="15.75" customHeight="1" x14ac:dyDescent="0.35">
      <c r="A64" s="44" t="s">
        <v>141</v>
      </c>
      <c r="B64" s="45">
        <v>0</v>
      </c>
      <c r="C64" s="45">
        <v>0</v>
      </c>
      <c r="D64" s="45">
        <v>0</v>
      </c>
      <c r="E64" s="45">
        <v>0</v>
      </c>
      <c r="F64" s="45">
        <v>0</v>
      </c>
      <c r="G64" s="45">
        <v>0</v>
      </c>
      <c r="H64" s="45">
        <v>0</v>
      </c>
      <c r="I64" s="45">
        <v>0</v>
      </c>
      <c r="J64" s="45">
        <v>0</v>
      </c>
      <c r="K64" s="45">
        <v>0</v>
      </c>
      <c r="L64" s="45">
        <v>0</v>
      </c>
      <c r="M64" s="45">
        <v>0</v>
      </c>
      <c r="N64" s="45">
        <v>0</v>
      </c>
    </row>
    <row r="65" spans="1:14" ht="16.5" customHeight="1" x14ac:dyDescent="0.35">
      <c r="A65" s="49" t="s">
        <v>142</v>
      </c>
      <c r="B65" s="50">
        <f t="shared" ref="B65:N65" si="8">SUM(B60:B64)</f>
        <v>0</v>
      </c>
      <c r="C65" s="50">
        <f t="shared" si="8"/>
        <v>0</v>
      </c>
      <c r="D65" s="50">
        <f t="shared" si="8"/>
        <v>0</v>
      </c>
      <c r="E65" s="50">
        <f t="shared" si="8"/>
        <v>7500</v>
      </c>
      <c r="F65" s="50">
        <f t="shared" si="8"/>
        <v>0</v>
      </c>
      <c r="G65" s="50">
        <f t="shared" si="8"/>
        <v>0</v>
      </c>
      <c r="H65" s="50">
        <f t="shared" si="8"/>
        <v>0</v>
      </c>
      <c r="I65" s="50">
        <f t="shared" si="8"/>
        <v>24000</v>
      </c>
      <c r="J65" s="50">
        <f t="shared" si="8"/>
        <v>0</v>
      </c>
      <c r="K65" s="50">
        <f t="shared" si="8"/>
        <v>0</v>
      </c>
      <c r="L65" s="50">
        <f t="shared" si="8"/>
        <v>0</v>
      </c>
      <c r="M65" s="50">
        <f t="shared" si="8"/>
        <v>7500</v>
      </c>
      <c r="N65" s="50">
        <f t="shared" si="8"/>
        <v>0</v>
      </c>
    </row>
    <row r="66" spans="1:14" ht="7.5" customHeight="1" x14ac:dyDescent="0.35"/>
    <row r="67" spans="1:14" ht="19.5" customHeight="1" x14ac:dyDescent="0.35">
      <c r="A67" s="36" t="s">
        <v>143</v>
      </c>
      <c r="B67" s="46">
        <f t="shared" ref="B67:N67" si="9">B25+B38+B44+B50+B57+B65</f>
        <v>24500</v>
      </c>
      <c r="C67" s="46">
        <f t="shared" si="9"/>
        <v>49745</v>
      </c>
      <c r="D67" s="46">
        <f t="shared" si="9"/>
        <v>19440</v>
      </c>
      <c r="E67" s="46">
        <f t="shared" si="9"/>
        <v>51190</v>
      </c>
      <c r="F67" s="46">
        <f t="shared" si="9"/>
        <v>21430</v>
      </c>
      <c r="G67" s="46">
        <f t="shared" si="9"/>
        <v>42985</v>
      </c>
      <c r="H67" s="46">
        <f t="shared" si="9"/>
        <v>45800</v>
      </c>
      <c r="I67" s="46">
        <f t="shared" si="9"/>
        <v>76000</v>
      </c>
      <c r="J67" s="46">
        <f t="shared" si="9"/>
        <v>9180</v>
      </c>
      <c r="K67" s="46">
        <f t="shared" si="9"/>
        <v>58655</v>
      </c>
      <c r="L67" s="46">
        <f t="shared" si="9"/>
        <v>25820</v>
      </c>
      <c r="M67" s="46">
        <f t="shared" si="9"/>
        <v>41530</v>
      </c>
      <c r="N67" s="46">
        <f t="shared" si="9"/>
        <v>11750</v>
      </c>
    </row>
    <row r="68" spans="1:14" ht="9.75" customHeight="1" x14ac:dyDescent="0.35"/>
    <row r="69" spans="1:14" ht="18.75" customHeight="1" x14ac:dyDescent="0.35">
      <c r="A69" s="42" t="s">
        <v>144</v>
      </c>
      <c r="B69" s="43"/>
      <c r="C69" s="43"/>
      <c r="D69" s="43"/>
      <c r="E69" s="43"/>
      <c r="F69" s="43"/>
      <c r="G69" s="43"/>
      <c r="H69" s="43"/>
      <c r="I69" s="43"/>
      <c r="J69" s="43"/>
      <c r="K69" s="43"/>
      <c r="L69" s="43"/>
      <c r="M69" s="43"/>
      <c r="N69" s="43"/>
    </row>
    <row r="70" spans="1:14" ht="15.75" customHeight="1" x14ac:dyDescent="0.35">
      <c r="A70" s="44" t="s">
        <v>58</v>
      </c>
      <c r="B70" s="51">
        <f t="shared" ref="B70:N70" si="10">B8</f>
        <v>142500</v>
      </c>
      <c r="C70" s="51">
        <f t="shared" si="10"/>
        <v>157000</v>
      </c>
      <c r="D70" s="51">
        <f t="shared" si="10"/>
        <v>141755</v>
      </c>
      <c r="E70" s="51">
        <f t="shared" si="10"/>
        <v>169015</v>
      </c>
      <c r="F70" s="51">
        <f t="shared" si="10"/>
        <v>148825</v>
      </c>
      <c r="G70" s="51">
        <f t="shared" si="10"/>
        <v>169895</v>
      </c>
      <c r="H70" s="51">
        <f t="shared" si="10"/>
        <v>167210</v>
      </c>
      <c r="I70" s="51">
        <f t="shared" si="10"/>
        <v>148410</v>
      </c>
      <c r="J70" s="51">
        <f t="shared" si="10"/>
        <v>102810</v>
      </c>
      <c r="K70" s="51">
        <f t="shared" si="10"/>
        <v>125130</v>
      </c>
      <c r="L70" s="51">
        <f t="shared" si="10"/>
        <v>107975</v>
      </c>
      <c r="M70" s="51">
        <f t="shared" si="10"/>
        <v>119405</v>
      </c>
      <c r="N70" s="51">
        <f t="shared" si="10"/>
        <v>127875</v>
      </c>
    </row>
    <row r="71" spans="1:14" ht="15.75" customHeight="1" x14ac:dyDescent="0.35">
      <c r="A71" s="44" t="s">
        <v>145</v>
      </c>
      <c r="B71" s="51">
        <f t="shared" ref="B71:N71" si="11">B17</f>
        <v>39000</v>
      </c>
      <c r="C71" s="51">
        <f t="shared" si="11"/>
        <v>34500</v>
      </c>
      <c r="D71" s="51">
        <f t="shared" si="11"/>
        <v>46700</v>
      </c>
      <c r="E71" s="51">
        <f t="shared" si="11"/>
        <v>31000</v>
      </c>
      <c r="F71" s="51">
        <f t="shared" si="11"/>
        <v>42500</v>
      </c>
      <c r="G71" s="51">
        <f t="shared" si="11"/>
        <v>40300</v>
      </c>
      <c r="H71" s="51">
        <f t="shared" si="11"/>
        <v>27000</v>
      </c>
      <c r="I71" s="51">
        <f t="shared" si="11"/>
        <v>30400</v>
      </c>
      <c r="J71" s="51">
        <f t="shared" si="11"/>
        <v>31500</v>
      </c>
      <c r="K71" s="51">
        <f t="shared" si="11"/>
        <v>41500</v>
      </c>
      <c r="L71" s="51">
        <f t="shared" si="11"/>
        <v>37250</v>
      </c>
      <c r="M71" s="51">
        <f t="shared" si="11"/>
        <v>50000</v>
      </c>
      <c r="N71" s="51">
        <f t="shared" si="11"/>
        <v>38500</v>
      </c>
    </row>
    <row r="72" spans="1:14" ht="15.75" customHeight="1" x14ac:dyDescent="0.35">
      <c r="A72" s="44" t="s">
        <v>146</v>
      </c>
      <c r="B72" s="51">
        <f t="shared" ref="B72:N72" si="12">-B67</f>
        <v>-24500</v>
      </c>
      <c r="C72" s="51">
        <f t="shared" si="12"/>
        <v>-49745</v>
      </c>
      <c r="D72" s="51">
        <f t="shared" si="12"/>
        <v>-19440</v>
      </c>
      <c r="E72" s="51">
        <f t="shared" si="12"/>
        <v>-51190</v>
      </c>
      <c r="F72" s="51">
        <f t="shared" si="12"/>
        <v>-21430</v>
      </c>
      <c r="G72" s="51">
        <f t="shared" si="12"/>
        <v>-42985</v>
      </c>
      <c r="H72" s="51">
        <f t="shared" si="12"/>
        <v>-45800</v>
      </c>
      <c r="I72" s="51">
        <f t="shared" si="12"/>
        <v>-76000</v>
      </c>
      <c r="J72" s="51">
        <f t="shared" si="12"/>
        <v>-9180</v>
      </c>
      <c r="K72" s="51">
        <f t="shared" si="12"/>
        <v>-58655</v>
      </c>
      <c r="L72" s="51">
        <f t="shared" si="12"/>
        <v>-25820</v>
      </c>
      <c r="M72" s="51">
        <f t="shared" si="12"/>
        <v>-41530</v>
      </c>
      <c r="N72" s="51">
        <f t="shared" si="12"/>
        <v>-11750</v>
      </c>
    </row>
    <row r="73" spans="1:14" ht="15.75" customHeight="1" x14ac:dyDescent="0.35">
      <c r="A73" s="49" t="s">
        <v>147</v>
      </c>
      <c r="B73" s="50">
        <f t="shared" ref="B73:N73" si="13">B71+B72</f>
        <v>14500</v>
      </c>
      <c r="C73" s="50">
        <f t="shared" si="13"/>
        <v>-15245</v>
      </c>
      <c r="D73" s="50">
        <f t="shared" si="13"/>
        <v>27260</v>
      </c>
      <c r="E73" s="50">
        <f t="shared" si="13"/>
        <v>-20190</v>
      </c>
      <c r="F73" s="50">
        <f t="shared" si="13"/>
        <v>21070</v>
      </c>
      <c r="G73" s="50">
        <f t="shared" si="13"/>
        <v>-2685</v>
      </c>
      <c r="H73" s="50">
        <f t="shared" si="13"/>
        <v>-18800</v>
      </c>
      <c r="I73" s="50">
        <f t="shared" si="13"/>
        <v>-45600</v>
      </c>
      <c r="J73" s="50">
        <f t="shared" si="13"/>
        <v>22320</v>
      </c>
      <c r="K73" s="50">
        <f t="shared" si="13"/>
        <v>-17155</v>
      </c>
      <c r="L73" s="50">
        <f t="shared" si="13"/>
        <v>11430</v>
      </c>
      <c r="M73" s="50">
        <f t="shared" si="13"/>
        <v>8470</v>
      </c>
      <c r="N73" s="50">
        <f t="shared" si="13"/>
        <v>26750</v>
      </c>
    </row>
    <row r="74" spans="1:14" ht="21.75" customHeight="1" x14ac:dyDescent="0.35">
      <c r="A74" s="52" t="s">
        <v>148</v>
      </c>
      <c r="B74" s="53">
        <f t="shared" ref="B74:N74" si="14">B70+B73</f>
        <v>157000</v>
      </c>
      <c r="C74" s="53">
        <f t="shared" si="14"/>
        <v>141755</v>
      </c>
      <c r="D74" s="53">
        <f t="shared" si="14"/>
        <v>169015</v>
      </c>
      <c r="E74" s="53">
        <f t="shared" si="14"/>
        <v>148825</v>
      </c>
      <c r="F74" s="53">
        <f t="shared" si="14"/>
        <v>169895</v>
      </c>
      <c r="G74" s="53">
        <f t="shared" si="14"/>
        <v>167210</v>
      </c>
      <c r="H74" s="53">
        <f t="shared" si="14"/>
        <v>148410</v>
      </c>
      <c r="I74" s="53">
        <f t="shared" si="14"/>
        <v>102810</v>
      </c>
      <c r="J74" s="53">
        <f t="shared" si="14"/>
        <v>125130</v>
      </c>
      <c r="K74" s="53">
        <f t="shared" si="14"/>
        <v>107975</v>
      </c>
      <c r="L74" s="53">
        <f t="shared" si="14"/>
        <v>119405</v>
      </c>
      <c r="M74" s="53">
        <f t="shared" si="14"/>
        <v>127875</v>
      </c>
      <c r="N74" s="53">
        <f t="shared" si="14"/>
        <v>154625</v>
      </c>
    </row>
    <row r="75" spans="1:14" ht="9.75" customHeight="1" x14ac:dyDescent="0.35"/>
    <row r="76" spans="1:14" ht="15.75" customHeight="1" x14ac:dyDescent="0.35">
      <c r="A76" s="54" t="s">
        <v>149</v>
      </c>
      <c r="B76" s="55">
        <f>ASSUMPTIONS!$C$10</f>
        <v>120000</v>
      </c>
      <c r="C76" s="55">
        <f>ASSUMPTIONS!$C$10</f>
        <v>120000</v>
      </c>
      <c r="D76" s="55">
        <f>ASSUMPTIONS!$C$10</f>
        <v>120000</v>
      </c>
      <c r="E76" s="55">
        <f>ASSUMPTIONS!$C$10</f>
        <v>120000</v>
      </c>
      <c r="F76" s="55">
        <f>ASSUMPTIONS!$C$10</f>
        <v>120000</v>
      </c>
      <c r="G76" s="55">
        <f>ASSUMPTIONS!$C$10</f>
        <v>120000</v>
      </c>
      <c r="H76" s="55">
        <f>ASSUMPTIONS!$C$10</f>
        <v>120000</v>
      </c>
      <c r="I76" s="55">
        <f>ASSUMPTIONS!$C$10</f>
        <v>120000</v>
      </c>
      <c r="J76" s="55">
        <f>ASSUMPTIONS!$C$10</f>
        <v>120000</v>
      </c>
      <c r="K76" s="55">
        <f>ASSUMPTIONS!$C$10</f>
        <v>120000</v>
      </c>
      <c r="L76" s="55">
        <f>ASSUMPTIONS!$C$10</f>
        <v>120000</v>
      </c>
      <c r="M76" s="55">
        <f>ASSUMPTIONS!$C$10</f>
        <v>120000</v>
      </c>
      <c r="N76" s="55">
        <f>ASSUMPTIONS!$C$10</f>
        <v>120000</v>
      </c>
    </row>
    <row r="77" spans="1:14" ht="15.75" customHeight="1" x14ac:dyDescent="0.35">
      <c r="A77" s="56" t="s">
        <v>150</v>
      </c>
      <c r="B77" s="57">
        <f t="shared" ref="B77:N77" si="15">IFERROR(B74-B76,0)</f>
        <v>37000</v>
      </c>
      <c r="C77" s="57">
        <f t="shared" si="15"/>
        <v>21755</v>
      </c>
      <c r="D77" s="57">
        <f t="shared" si="15"/>
        <v>49015</v>
      </c>
      <c r="E77" s="57">
        <f t="shared" si="15"/>
        <v>28825</v>
      </c>
      <c r="F77" s="57">
        <f t="shared" si="15"/>
        <v>49895</v>
      </c>
      <c r="G77" s="57">
        <f t="shared" si="15"/>
        <v>47210</v>
      </c>
      <c r="H77" s="57">
        <f t="shared" si="15"/>
        <v>28410</v>
      </c>
      <c r="I77" s="57">
        <f t="shared" si="15"/>
        <v>-17190</v>
      </c>
      <c r="J77" s="57">
        <f t="shared" si="15"/>
        <v>5130</v>
      </c>
      <c r="K77" s="57">
        <f t="shared" si="15"/>
        <v>-12025</v>
      </c>
      <c r="L77" s="57">
        <f t="shared" si="15"/>
        <v>-595</v>
      </c>
      <c r="M77" s="57">
        <f t="shared" si="15"/>
        <v>7875</v>
      </c>
      <c r="N77" s="57">
        <f t="shared" si="15"/>
        <v>34625</v>
      </c>
    </row>
    <row r="78" spans="1:14" ht="15.75" customHeight="1" x14ac:dyDescent="0.35">
      <c r="A78" s="58" t="s">
        <v>151</v>
      </c>
      <c r="B78" s="59" t="str">
        <f t="shared" ref="B78:N78" si="16">IF(B74&lt;0,"NEGATIVE",IF(B74&lt;B76,"BELOW MIN","ABOVE MIN"))</f>
        <v>ABOVE MIN</v>
      </c>
      <c r="C78" s="59" t="str">
        <f t="shared" si="16"/>
        <v>ABOVE MIN</v>
      </c>
      <c r="D78" s="59" t="str">
        <f t="shared" si="16"/>
        <v>ABOVE MIN</v>
      </c>
      <c r="E78" s="59" t="str">
        <f t="shared" si="16"/>
        <v>ABOVE MIN</v>
      </c>
      <c r="F78" s="59" t="str">
        <f t="shared" si="16"/>
        <v>ABOVE MIN</v>
      </c>
      <c r="G78" s="59" t="str">
        <f t="shared" si="16"/>
        <v>ABOVE MIN</v>
      </c>
      <c r="H78" s="59" t="str">
        <f t="shared" si="16"/>
        <v>ABOVE MIN</v>
      </c>
      <c r="I78" s="59" t="str">
        <f t="shared" si="16"/>
        <v>BELOW MIN</v>
      </c>
      <c r="J78" s="59" t="str">
        <f t="shared" si="16"/>
        <v>ABOVE MIN</v>
      </c>
      <c r="K78" s="59" t="str">
        <f t="shared" si="16"/>
        <v>BELOW MIN</v>
      </c>
      <c r="L78" s="59" t="str">
        <f t="shared" si="16"/>
        <v>BELOW MIN</v>
      </c>
      <c r="M78" s="59" t="str">
        <f t="shared" si="16"/>
        <v>ABOVE MIN</v>
      </c>
      <c r="N78" s="59" t="str">
        <f t="shared" si="16"/>
        <v>ABOVE MIN</v>
      </c>
    </row>
    <row r="80" spans="1:14" ht="18" customHeight="1" x14ac:dyDescent="0.35">
      <c r="A80" s="113" t="s">
        <v>152</v>
      </c>
      <c r="B80" s="113"/>
      <c r="C80" s="113"/>
      <c r="D80" s="113"/>
      <c r="E80" s="113"/>
      <c r="F80" s="113"/>
      <c r="G80" s="113"/>
      <c r="H80" s="113"/>
      <c r="I80" s="113"/>
      <c r="J80" s="113"/>
      <c r="K80" s="113"/>
      <c r="L80" s="113"/>
      <c r="M80" s="113"/>
      <c r="N80" s="113"/>
    </row>
  </sheetData>
  <sheetProtection sheet="1" formatCells="0" sort="0" autoFilter="0"/>
  <mergeCells count="5">
    <mergeCell ref="A1:N1"/>
    <mergeCell ref="A2:G2"/>
    <mergeCell ref="I2:N2"/>
    <mergeCell ref="A3:N3"/>
    <mergeCell ref="A80:N80"/>
  </mergeCells>
  <conditionalFormatting sqref="B74:N74">
    <cfRule type="cellIs" dxfId="11" priority="2" operator="lessThan">
      <formula>0</formula>
    </cfRule>
  </conditionalFormatting>
  <conditionalFormatting sqref="B77:N77">
    <cfRule type="cellIs" dxfId="8" priority="5" operator="lessThan">
      <formula>0</formula>
    </cfRule>
    <cfRule type="cellIs" dxfId="7" priority="6" operator="greaterThanOrEqual">
      <formula>0</formula>
    </cfRule>
  </conditionalFormatting>
  <conditionalFormatting sqref="B78:N78">
    <cfRule type="expression" dxfId="6" priority="7">
      <formula>B78="NEGATIVE"</formula>
    </cfRule>
    <cfRule type="expression" dxfId="5" priority="8">
      <formula>B78="BELOW MIN"</formula>
    </cfRule>
    <cfRule type="expression" dxfId="4" priority="9">
      <formula>B78="ABOVE MIN"</formula>
    </cfRule>
  </conditionalFormatting>
  <pageMargins left="0.75" right="0.75" top="1" bottom="1" header="0.511811023622047" footer="0.511811023622047"/>
  <pageSetup fitToHeight="0" orientation="landscape" horizontalDpi="300" verticalDpi="300"/>
  <legacyDrawing r:id="rId1"/>
  <extLst>
    <ext xmlns:x14="http://schemas.microsoft.com/office/spreadsheetml/2009/9/main" uri="{78C0D931-6437-407d-A8EE-F0AAD7539E65}">
      <x14:conditionalFormattings>
        <x14:conditionalFormatting xmlns:xm="http://schemas.microsoft.com/office/excel/2006/main">
          <x14:cfRule type="expression" priority="3" id="{00000000-000E-0000-0200-000003000000}">
            <xm:f>B74&lt;ASSUMPTIONS!$C$10</xm:f>
            <x14:dxf>
              <font>
                <b/>
                <sz val="10"/>
                <color rgb="FF9A6209"/>
                <name val="Arial"/>
                <charset val="1"/>
              </font>
              <fill>
                <patternFill>
                  <bgColor rgb="FFFDF3E2"/>
                </patternFill>
              </fill>
            </x14:dxf>
          </x14:cfRule>
          <x14:cfRule type="expression" priority="4" id="{00000000-000E-0000-0200-000004000000}">
            <xm:f>B74&gt;=ASSUMPTIONS!$C$10</xm:f>
            <x14:dxf>
              <font>
                <b/>
                <sz val="10"/>
                <color rgb="FF1E6B4F"/>
                <name val="Arial"/>
                <charset val="1"/>
              </font>
              <fill>
                <patternFill>
                  <bgColor rgb="FFE8F3EF"/>
                </patternFill>
              </fill>
            </x14:dxf>
          </x14:cfRule>
          <xm:sqref>B74:N74</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29"/>
  <sheetViews>
    <sheetView showGridLines="0" zoomScaleNormal="100" workbookViewId="0">
      <pane ySplit="4" topLeftCell="A5" activePane="bottomLeft" state="frozen"/>
      <selection pane="bottomLeft"/>
    </sheetView>
  </sheetViews>
  <sheetFormatPr defaultColWidth="8.6328125" defaultRowHeight="14.5" x14ac:dyDescent="0.35"/>
  <cols>
    <col min="1" max="1" width="3" customWidth="1"/>
    <col min="2" max="2" width="40" customWidth="1"/>
    <col min="3" max="3" width="18" customWidth="1"/>
    <col min="4" max="4" width="15" customWidth="1"/>
    <col min="5" max="5" width="3" customWidth="1"/>
    <col min="6" max="13" width="11" customWidth="1"/>
  </cols>
  <sheetData>
    <row r="1" spans="1:13" ht="7.5" customHeight="1" x14ac:dyDescent="0.35">
      <c r="A1" s="15"/>
      <c r="B1" s="15"/>
      <c r="C1" s="15"/>
      <c r="D1" s="15"/>
      <c r="E1" s="15"/>
      <c r="F1" s="15"/>
      <c r="G1" s="15"/>
      <c r="H1" s="15"/>
      <c r="I1" s="15"/>
      <c r="J1" s="15"/>
      <c r="K1" s="15"/>
      <c r="L1" s="15"/>
      <c r="M1" s="15"/>
    </row>
    <row r="2" spans="1:13" ht="27.75" customHeight="1" x14ac:dyDescent="0.35">
      <c r="A2" s="15"/>
      <c r="B2" s="103" t="s">
        <v>153</v>
      </c>
      <c r="C2" s="103"/>
      <c r="D2" s="103"/>
      <c r="E2" s="103"/>
      <c r="F2" s="103"/>
      <c r="G2" s="103"/>
      <c r="H2" s="103"/>
      <c r="I2" s="15"/>
      <c r="J2" s="15"/>
      <c r="K2" s="15"/>
      <c r="L2" s="15"/>
      <c r="M2" s="15"/>
    </row>
    <row r="3" spans="1:13" ht="18" customHeight="1" x14ac:dyDescent="0.35">
      <c r="A3" s="15"/>
      <c r="B3" s="104" t="s">
        <v>154</v>
      </c>
      <c r="C3" s="104"/>
      <c r="D3" s="104"/>
      <c r="E3" s="104"/>
      <c r="F3" s="104"/>
      <c r="G3" s="104"/>
      <c r="H3" s="104"/>
      <c r="I3" s="15"/>
      <c r="J3" s="15"/>
      <c r="K3" s="15"/>
      <c r="L3" s="15"/>
      <c r="M3" s="15"/>
    </row>
    <row r="4" spans="1:13" ht="7.5" customHeight="1" x14ac:dyDescent="0.35">
      <c r="A4" s="15"/>
      <c r="B4" s="15"/>
      <c r="C4" s="15"/>
      <c r="D4" s="15"/>
      <c r="E4" s="15"/>
      <c r="F4" s="15"/>
      <c r="G4" s="15"/>
      <c r="H4" s="15"/>
      <c r="I4" s="15"/>
      <c r="J4" s="15"/>
      <c r="K4" s="15"/>
      <c r="L4" s="15"/>
      <c r="M4" s="15"/>
    </row>
    <row r="5" spans="1:13" ht="9.75" customHeight="1" x14ac:dyDescent="0.35"/>
    <row r="6" spans="1:13" ht="19.5" customHeight="1" x14ac:dyDescent="0.35">
      <c r="B6" s="114" t="s">
        <v>155</v>
      </c>
      <c r="C6" s="114"/>
      <c r="D6" s="114"/>
      <c r="F6" s="61" t="s">
        <v>156</v>
      </c>
    </row>
    <row r="7" spans="1:13" ht="18" customHeight="1" x14ac:dyDescent="0.35">
      <c r="B7" s="62" t="s">
        <v>157</v>
      </c>
      <c r="C7" s="23" t="s">
        <v>158</v>
      </c>
      <c r="D7" s="23"/>
    </row>
    <row r="8" spans="1:13" ht="18.75" customHeight="1" x14ac:dyDescent="0.35">
      <c r="B8" s="63" t="s">
        <v>159</v>
      </c>
      <c r="C8" s="64">
        <f>SUM('13-WEEK FORECAST'!B17:N17)</f>
        <v>490150</v>
      </c>
      <c r="D8" s="31"/>
    </row>
    <row r="9" spans="1:13" ht="18.75" customHeight="1" x14ac:dyDescent="0.35">
      <c r="B9" s="63" t="s">
        <v>160</v>
      </c>
      <c r="C9" s="64">
        <f>SUM('13-WEEK FORECAST'!B67:N67)</f>
        <v>478025</v>
      </c>
      <c r="D9" s="31"/>
    </row>
    <row r="10" spans="1:13" ht="18.75" customHeight="1" x14ac:dyDescent="0.35">
      <c r="B10" s="65" t="s">
        <v>161</v>
      </c>
      <c r="C10" s="66">
        <f>IFERROR(C8-C9,0)</f>
        <v>12125</v>
      </c>
      <c r="D10" s="67"/>
    </row>
    <row r="11" spans="1:13" ht="18.75" customHeight="1" x14ac:dyDescent="0.35">
      <c r="B11" s="63" t="s">
        <v>162</v>
      </c>
      <c r="C11" s="64">
        <f>'13-WEEK FORECAST'!B70</f>
        <v>142500</v>
      </c>
      <c r="D11" s="31"/>
    </row>
    <row r="12" spans="1:13" ht="18.75" customHeight="1" x14ac:dyDescent="0.35">
      <c r="B12" s="65" t="s">
        <v>163</v>
      </c>
      <c r="C12" s="66">
        <f>'13-WEEK FORECAST'!N74</f>
        <v>154625</v>
      </c>
      <c r="D12" s="67"/>
    </row>
    <row r="13" spans="1:13" ht="18.75" customHeight="1" x14ac:dyDescent="0.35">
      <c r="B13" s="63" t="s">
        <v>164</v>
      </c>
      <c r="C13" s="64">
        <f>MIN('13-WEEK FORECAST'!$B$74:$N$74)</f>
        <v>102810</v>
      </c>
      <c r="D13" s="68" t="str">
        <f>"Week "&amp;MATCH(MIN('13-WEEK FORECAST'!$B$74:$N$74),'13-WEEK FORECAST'!$B$74:$N$74,0)</f>
        <v>Week 8</v>
      </c>
    </row>
    <row r="14" spans="1:13" ht="18.75" customHeight="1" x14ac:dyDescent="0.35">
      <c r="B14" s="63" t="s">
        <v>165</v>
      </c>
      <c r="C14" s="64">
        <f>MAX('13-WEEK FORECAST'!$B$74:$N$74)</f>
        <v>169895</v>
      </c>
      <c r="D14" s="68" t="str">
        <f>"Week "&amp;MATCH(MAX('13-WEEK FORECAST'!$B$74:$N$74),'13-WEEK FORECAST'!$B$74:$N$74,0)</f>
        <v>Week 5</v>
      </c>
    </row>
    <row r="15" spans="1:13" ht="12" customHeight="1" x14ac:dyDescent="0.35"/>
    <row r="16" spans="1:13" ht="19.5" customHeight="1" x14ac:dyDescent="0.35">
      <c r="B16" s="114" t="s">
        <v>166</v>
      </c>
      <c r="C16" s="114"/>
      <c r="D16" s="114"/>
    </row>
    <row r="17" spans="2:13" ht="18" customHeight="1" x14ac:dyDescent="0.35">
      <c r="B17" s="62" t="s">
        <v>167</v>
      </c>
      <c r="C17" s="23" t="s">
        <v>168</v>
      </c>
      <c r="D17" s="23" t="s">
        <v>169</v>
      </c>
    </row>
    <row r="18" spans="2:13" ht="18.75" customHeight="1" x14ac:dyDescent="0.35">
      <c r="B18" s="63" t="s">
        <v>170</v>
      </c>
      <c r="C18" s="69">
        <f>SUM('13-WEEK FORECAST'!B25:N25)</f>
        <v>258200</v>
      </c>
      <c r="D18" s="70">
        <f t="shared" ref="D18:D23" si="0">IFERROR(C18/$C$24,0)</f>
        <v>0.54013911406307202</v>
      </c>
    </row>
    <row r="19" spans="2:13" ht="18.75" customHeight="1" x14ac:dyDescent="0.35">
      <c r="B19" s="63" t="s">
        <v>171</v>
      </c>
      <c r="C19" s="69">
        <f>SUM('13-WEEK FORECAST'!B38:N38)</f>
        <v>80680</v>
      </c>
      <c r="D19" s="70">
        <f t="shared" si="0"/>
        <v>0.16877778358872444</v>
      </c>
    </row>
    <row r="20" spans="2:13" ht="18.75" customHeight="1" x14ac:dyDescent="0.35">
      <c r="B20" s="63" t="s">
        <v>172</v>
      </c>
      <c r="C20" s="69">
        <f>SUM('13-WEEK FORECAST'!B44:N44)</f>
        <v>49600</v>
      </c>
      <c r="D20" s="70">
        <f t="shared" si="0"/>
        <v>0.10376026358454056</v>
      </c>
    </row>
    <row r="21" spans="2:13" ht="18.75" customHeight="1" x14ac:dyDescent="0.35">
      <c r="B21" s="63" t="s">
        <v>173</v>
      </c>
      <c r="C21" s="69">
        <f>SUM('13-WEEK FORECAST'!B50:N50)</f>
        <v>28100</v>
      </c>
      <c r="D21" s="70">
        <f t="shared" si="0"/>
        <v>5.8783536425919145E-2</v>
      </c>
    </row>
    <row r="22" spans="2:13" ht="18.75" customHeight="1" x14ac:dyDescent="0.35">
      <c r="B22" s="63" t="s">
        <v>174</v>
      </c>
      <c r="C22" s="69">
        <f>SUM('13-WEEK FORECAST'!B57:N57)</f>
        <v>22445</v>
      </c>
      <c r="D22" s="70">
        <f t="shared" si="0"/>
        <v>4.6953611212802678E-2</v>
      </c>
    </row>
    <row r="23" spans="2:13" ht="18.75" customHeight="1" x14ac:dyDescent="0.35">
      <c r="B23" s="63" t="s">
        <v>175</v>
      </c>
      <c r="C23" s="69">
        <f>SUM('13-WEEK FORECAST'!B65:N65)</f>
        <v>39000</v>
      </c>
      <c r="D23" s="70">
        <f t="shared" si="0"/>
        <v>8.158569112494117E-2</v>
      </c>
    </row>
    <row r="24" spans="2:13" ht="21.75" customHeight="1" x14ac:dyDescent="0.35">
      <c r="B24" s="60" t="s">
        <v>160</v>
      </c>
      <c r="C24" s="71">
        <f>SUM(C18:C23)</f>
        <v>478025</v>
      </c>
      <c r="D24" s="72">
        <f>IFERROR(SUM(D18:D23),0)</f>
        <v>1</v>
      </c>
    </row>
    <row r="26" spans="2:13" x14ac:dyDescent="0.35">
      <c r="B26" s="115" t="s">
        <v>176</v>
      </c>
      <c r="C26" s="115"/>
      <c r="D26" s="115"/>
    </row>
    <row r="27" spans="2:13" x14ac:dyDescent="0.35">
      <c r="B27" s="116" t="str">
        <f>IFERROR(IF(ROUND(C24-SUM('13-WEEK FORECAST'!B67:N67),2)=0,"✓  Summary agrees to the detailed forecast.","Check: summary does not agree to the forecast."),"")</f>
        <v>✓  Summary agrees to the detailed forecast.</v>
      </c>
      <c r="C27" s="116"/>
      <c r="D27" s="116"/>
    </row>
    <row r="29" spans="2:13" ht="18" customHeight="1" x14ac:dyDescent="0.35">
      <c r="B29" s="117" t="s">
        <v>177</v>
      </c>
      <c r="C29" s="117"/>
      <c r="D29" s="117"/>
      <c r="E29" s="117"/>
      <c r="F29" s="117"/>
      <c r="G29" s="117"/>
      <c r="H29" s="117"/>
      <c r="I29" s="117"/>
      <c r="J29" s="117"/>
      <c r="K29" s="117"/>
      <c r="L29" s="117"/>
      <c r="M29" s="117"/>
    </row>
  </sheetData>
  <sheetProtection sheet="1" formatCells="0" sort="0" autoFilter="0"/>
  <mergeCells count="7">
    <mergeCell ref="B27:D27"/>
    <mergeCell ref="B29:M29"/>
    <mergeCell ref="B2:H2"/>
    <mergeCell ref="B3:H3"/>
    <mergeCell ref="B6:D6"/>
    <mergeCell ref="B16:D16"/>
    <mergeCell ref="B26:D26"/>
  </mergeCells>
  <pageMargins left="0.75" right="0.75" top="1" bottom="1" header="0.511811023622047" footer="0.511811023622047"/>
  <pageSetup orientation="landscape"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N47"/>
  <sheetViews>
    <sheetView showGridLines="0" zoomScale="90" zoomScaleNormal="90" workbookViewId="0">
      <pane xSplit="1" ySplit="7" topLeftCell="B8" activePane="bottomRight" state="frozen"/>
      <selection pane="topRight" activeCell="B1" sqref="B1"/>
      <selection pane="bottomLeft" activeCell="A8" sqref="A8"/>
      <selection pane="bottomRight" sqref="A1:N1"/>
    </sheetView>
  </sheetViews>
  <sheetFormatPr defaultColWidth="8.6328125" defaultRowHeight="14.5" x14ac:dyDescent="0.35"/>
  <cols>
    <col min="1" max="1" width="40" customWidth="1"/>
    <col min="2" max="14" width="12.6328125" customWidth="1"/>
    <col min="15" max="15" width="3" customWidth="1"/>
  </cols>
  <sheetData>
    <row r="1" spans="1:14" ht="13.5" customHeight="1" x14ac:dyDescent="0.35">
      <c r="A1" s="109" t="s">
        <v>0</v>
      </c>
      <c r="B1" s="109"/>
      <c r="C1" s="109"/>
      <c r="D1" s="109"/>
      <c r="E1" s="109"/>
      <c r="F1" s="109"/>
      <c r="G1" s="109"/>
      <c r="H1" s="109"/>
      <c r="I1" s="109"/>
      <c r="J1" s="109"/>
      <c r="K1" s="109"/>
      <c r="L1" s="109"/>
      <c r="M1" s="109"/>
      <c r="N1" s="109"/>
    </row>
    <row r="2" spans="1:14" ht="25.5" customHeight="1" x14ac:dyDescent="0.35">
      <c r="A2" s="110" t="s">
        <v>178</v>
      </c>
      <c r="B2" s="110"/>
      <c r="C2" s="110"/>
      <c r="D2" s="110"/>
      <c r="E2" s="110"/>
      <c r="F2" s="110"/>
      <c r="G2" s="110"/>
      <c r="H2" s="110"/>
      <c r="I2" s="15"/>
      <c r="J2" s="15"/>
      <c r="K2" s="15"/>
      <c r="L2" s="15"/>
      <c r="M2" s="15"/>
      <c r="N2" s="15"/>
    </row>
    <row r="3" spans="1:14" ht="15.75" customHeight="1" x14ac:dyDescent="0.35">
      <c r="A3" s="112" t="s">
        <v>179</v>
      </c>
      <c r="B3" s="112"/>
      <c r="C3" s="112"/>
      <c r="D3" s="112"/>
      <c r="E3" s="112"/>
      <c r="F3" s="112"/>
      <c r="G3" s="112"/>
      <c r="H3" s="112"/>
      <c r="I3" s="112"/>
      <c r="J3" s="112"/>
      <c r="K3" s="112"/>
      <c r="L3" s="112"/>
      <c r="M3" s="112"/>
      <c r="N3" s="112"/>
    </row>
    <row r="4" spans="1:14" ht="7.5" customHeight="1" x14ac:dyDescent="0.35"/>
    <row r="5" spans="1:14" ht="19.5" customHeight="1" x14ac:dyDescent="0.35">
      <c r="A5" s="36" t="s">
        <v>77</v>
      </c>
      <c r="B5" s="37" t="s">
        <v>78</v>
      </c>
      <c r="C5" s="37" t="s">
        <v>79</v>
      </c>
      <c r="D5" s="37" t="s">
        <v>80</v>
      </c>
      <c r="E5" s="37" t="s">
        <v>81</v>
      </c>
      <c r="F5" s="37" t="s">
        <v>82</v>
      </c>
      <c r="G5" s="37" t="s">
        <v>83</v>
      </c>
      <c r="H5" s="37" t="s">
        <v>84</v>
      </c>
      <c r="I5" s="37" t="s">
        <v>85</v>
      </c>
      <c r="J5" s="37" t="s">
        <v>86</v>
      </c>
      <c r="K5" s="37" t="s">
        <v>87</v>
      </c>
      <c r="L5" s="37" t="s">
        <v>88</v>
      </c>
      <c r="M5" s="37" t="s">
        <v>89</v>
      </c>
      <c r="N5" s="37" t="s">
        <v>90</v>
      </c>
    </row>
    <row r="6" spans="1:14" ht="15.75" customHeight="1" x14ac:dyDescent="0.35">
      <c r="A6" s="38" t="s">
        <v>91</v>
      </c>
      <c r="B6" s="39">
        <f>'13-WEEK FORECAST'!B6</f>
        <v>46278</v>
      </c>
      <c r="C6" s="39">
        <f>'13-WEEK FORECAST'!C6</f>
        <v>46285</v>
      </c>
      <c r="D6" s="39">
        <f>'13-WEEK FORECAST'!D6</f>
        <v>46292</v>
      </c>
      <c r="E6" s="39">
        <f>'13-WEEK FORECAST'!E6</f>
        <v>46299</v>
      </c>
      <c r="F6" s="39">
        <f>'13-WEEK FORECAST'!F6</f>
        <v>46306</v>
      </c>
      <c r="G6" s="39">
        <f>'13-WEEK FORECAST'!G6</f>
        <v>46313</v>
      </c>
      <c r="H6" s="39">
        <f>'13-WEEK FORECAST'!H6</f>
        <v>46320</v>
      </c>
      <c r="I6" s="39">
        <f>'13-WEEK FORECAST'!I6</f>
        <v>46327</v>
      </c>
      <c r="J6" s="39">
        <f>'13-WEEK FORECAST'!J6</f>
        <v>46334</v>
      </c>
      <c r="K6" s="39">
        <f>'13-WEEK FORECAST'!K6</f>
        <v>46341</v>
      </c>
      <c r="L6" s="39">
        <f>'13-WEEK FORECAST'!L6</f>
        <v>46348</v>
      </c>
      <c r="M6" s="39">
        <f>'13-WEEK FORECAST'!M6</f>
        <v>46355</v>
      </c>
      <c r="N6" s="39">
        <f>'13-WEEK FORECAST'!N6</f>
        <v>46362</v>
      </c>
    </row>
    <row r="7" spans="1:14" ht="12.75" customHeight="1" x14ac:dyDescent="0.35">
      <c r="A7" s="73" t="s">
        <v>180</v>
      </c>
      <c r="B7" s="74">
        <v>1</v>
      </c>
      <c r="C7" s="74">
        <v>2</v>
      </c>
      <c r="D7" s="74">
        <v>3</v>
      </c>
      <c r="E7" s="74">
        <v>4</v>
      </c>
      <c r="F7" s="74">
        <v>5</v>
      </c>
      <c r="G7" s="74">
        <v>6</v>
      </c>
      <c r="H7" s="74">
        <v>7</v>
      </c>
      <c r="I7" s="74">
        <v>8</v>
      </c>
      <c r="J7" s="74">
        <v>9</v>
      </c>
      <c r="K7" s="74">
        <v>10</v>
      </c>
      <c r="L7" s="74">
        <v>11</v>
      </c>
      <c r="M7" s="74">
        <v>12</v>
      </c>
      <c r="N7" s="74">
        <v>13</v>
      </c>
    </row>
    <row r="8" spans="1:14" ht="7.5" customHeight="1" x14ac:dyDescent="0.35"/>
    <row r="9" spans="1:14" ht="18.75" customHeight="1" x14ac:dyDescent="0.35">
      <c r="A9" s="42" t="s">
        <v>181</v>
      </c>
      <c r="B9" s="43"/>
      <c r="C9" s="43"/>
      <c r="D9" s="43"/>
      <c r="E9" s="43"/>
      <c r="F9" s="43"/>
      <c r="G9" s="43"/>
      <c r="H9" s="43"/>
      <c r="I9" s="43"/>
      <c r="J9" s="43"/>
      <c r="K9" s="43"/>
      <c r="L9" s="43"/>
      <c r="M9" s="43"/>
      <c r="N9" s="43"/>
    </row>
    <row r="10" spans="1:14" ht="16.5" customHeight="1" x14ac:dyDescent="0.35">
      <c r="A10" s="44" t="s">
        <v>159</v>
      </c>
      <c r="B10" s="51">
        <f>'13-WEEK FORECAST'!B17</f>
        <v>39000</v>
      </c>
      <c r="C10" s="51">
        <f>'13-WEEK FORECAST'!C17</f>
        <v>34500</v>
      </c>
      <c r="D10" s="51">
        <f>'13-WEEK FORECAST'!D17</f>
        <v>46700</v>
      </c>
      <c r="E10" s="51">
        <f>'13-WEEK FORECAST'!E17</f>
        <v>31000</v>
      </c>
      <c r="F10" s="51">
        <f>'13-WEEK FORECAST'!F17</f>
        <v>42500</v>
      </c>
      <c r="G10" s="51">
        <f>'13-WEEK FORECAST'!G17</f>
        <v>40300</v>
      </c>
      <c r="H10" s="51">
        <f>'13-WEEK FORECAST'!H17</f>
        <v>27000</v>
      </c>
      <c r="I10" s="51">
        <f>'13-WEEK FORECAST'!I17</f>
        <v>30400</v>
      </c>
      <c r="J10" s="51">
        <f>'13-WEEK FORECAST'!J17</f>
        <v>31500</v>
      </c>
      <c r="K10" s="51">
        <f>'13-WEEK FORECAST'!K17</f>
        <v>41500</v>
      </c>
      <c r="L10" s="51">
        <f>'13-WEEK FORECAST'!L17</f>
        <v>37250</v>
      </c>
      <c r="M10" s="51">
        <f>'13-WEEK FORECAST'!M17</f>
        <v>50000</v>
      </c>
      <c r="N10" s="51">
        <f>'13-WEEK FORECAST'!N17</f>
        <v>38500</v>
      </c>
    </row>
    <row r="11" spans="1:14" ht="16.5" customHeight="1" x14ac:dyDescent="0.35">
      <c r="A11" s="44" t="s">
        <v>160</v>
      </c>
      <c r="B11" s="51">
        <f>'13-WEEK FORECAST'!B67</f>
        <v>24500</v>
      </c>
      <c r="C11" s="51">
        <f>'13-WEEK FORECAST'!C67</f>
        <v>49745</v>
      </c>
      <c r="D11" s="51">
        <f>'13-WEEK FORECAST'!D67</f>
        <v>19440</v>
      </c>
      <c r="E11" s="51">
        <f>'13-WEEK FORECAST'!E67</f>
        <v>51190</v>
      </c>
      <c r="F11" s="51">
        <f>'13-WEEK FORECAST'!F67</f>
        <v>21430</v>
      </c>
      <c r="G11" s="51">
        <f>'13-WEEK FORECAST'!G67</f>
        <v>42985</v>
      </c>
      <c r="H11" s="51">
        <f>'13-WEEK FORECAST'!H67</f>
        <v>45800</v>
      </c>
      <c r="I11" s="51">
        <f>'13-WEEK FORECAST'!I67</f>
        <v>76000</v>
      </c>
      <c r="J11" s="51">
        <f>'13-WEEK FORECAST'!J67</f>
        <v>9180</v>
      </c>
      <c r="K11" s="51">
        <f>'13-WEEK FORECAST'!K67</f>
        <v>58655</v>
      </c>
      <c r="L11" s="51">
        <f>'13-WEEK FORECAST'!L67</f>
        <v>25820</v>
      </c>
      <c r="M11" s="51">
        <f>'13-WEEK FORECAST'!M67</f>
        <v>41530</v>
      </c>
      <c r="N11" s="51">
        <f>'13-WEEK FORECAST'!N67</f>
        <v>11750</v>
      </c>
    </row>
    <row r="12" spans="1:14" ht="16.5" customHeight="1" x14ac:dyDescent="0.35">
      <c r="A12" s="44" t="s">
        <v>161</v>
      </c>
      <c r="B12" s="75">
        <f t="shared" ref="B12:N12" si="0">B10-B11</f>
        <v>14500</v>
      </c>
      <c r="C12" s="75">
        <f t="shared" si="0"/>
        <v>-15245</v>
      </c>
      <c r="D12" s="75">
        <f t="shared" si="0"/>
        <v>27260</v>
      </c>
      <c r="E12" s="75">
        <f t="shared" si="0"/>
        <v>-20190</v>
      </c>
      <c r="F12" s="75">
        <f t="shared" si="0"/>
        <v>21070</v>
      </c>
      <c r="G12" s="75">
        <f t="shared" si="0"/>
        <v>-2685</v>
      </c>
      <c r="H12" s="75">
        <f t="shared" si="0"/>
        <v>-18800</v>
      </c>
      <c r="I12" s="75">
        <f t="shared" si="0"/>
        <v>-45600</v>
      </c>
      <c r="J12" s="75">
        <f t="shared" si="0"/>
        <v>22320</v>
      </c>
      <c r="K12" s="75">
        <f t="shared" si="0"/>
        <v>-17155</v>
      </c>
      <c r="L12" s="75">
        <f t="shared" si="0"/>
        <v>11430</v>
      </c>
      <c r="M12" s="75">
        <f t="shared" si="0"/>
        <v>8470</v>
      </c>
      <c r="N12" s="75">
        <f t="shared" si="0"/>
        <v>26750</v>
      </c>
    </row>
    <row r="13" spans="1:14" ht="19.5" customHeight="1" x14ac:dyDescent="0.35">
      <c r="A13" s="40" t="s">
        <v>182</v>
      </c>
      <c r="B13" s="41">
        <f>'13-WEEK FORECAST'!B74</f>
        <v>157000</v>
      </c>
      <c r="C13" s="41">
        <f>'13-WEEK FORECAST'!C74</f>
        <v>141755</v>
      </c>
      <c r="D13" s="41">
        <f>'13-WEEK FORECAST'!D74</f>
        <v>169015</v>
      </c>
      <c r="E13" s="41">
        <f>'13-WEEK FORECAST'!E74</f>
        <v>148825</v>
      </c>
      <c r="F13" s="41">
        <f>'13-WEEK FORECAST'!F74</f>
        <v>169895</v>
      </c>
      <c r="G13" s="41">
        <f>'13-WEEK FORECAST'!G74</f>
        <v>167210</v>
      </c>
      <c r="H13" s="41">
        <f>'13-WEEK FORECAST'!H74</f>
        <v>148410</v>
      </c>
      <c r="I13" s="41">
        <f>'13-WEEK FORECAST'!I74</f>
        <v>102810</v>
      </c>
      <c r="J13" s="41">
        <f>'13-WEEK FORECAST'!J74</f>
        <v>125130</v>
      </c>
      <c r="K13" s="41">
        <f>'13-WEEK FORECAST'!K74</f>
        <v>107975</v>
      </c>
      <c r="L13" s="41">
        <f>'13-WEEK FORECAST'!L74</f>
        <v>119405</v>
      </c>
      <c r="M13" s="41">
        <f>'13-WEEK FORECAST'!M74</f>
        <v>127875</v>
      </c>
      <c r="N13" s="41">
        <f>'13-WEEK FORECAST'!N74</f>
        <v>154625</v>
      </c>
    </row>
    <row r="14" spans="1:14" ht="9.75" customHeight="1" x14ac:dyDescent="0.35"/>
    <row r="15" spans="1:14" ht="18.75" customHeight="1" x14ac:dyDescent="0.35">
      <c r="A15" s="42" t="s">
        <v>183</v>
      </c>
      <c r="B15" s="43"/>
      <c r="C15" s="43"/>
      <c r="D15" s="43"/>
      <c r="E15" s="43"/>
      <c r="F15" s="43"/>
      <c r="G15" s="43"/>
      <c r="H15" s="43"/>
      <c r="I15" s="43"/>
      <c r="J15" s="43"/>
      <c r="K15" s="43"/>
      <c r="L15" s="43"/>
      <c r="M15" s="43"/>
      <c r="N15" s="43"/>
    </row>
    <row r="16" spans="1:14" ht="16.5" customHeight="1" x14ac:dyDescent="0.35">
      <c r="A16" s="44" t="s">
        <v>184</v>
      </c>
      <c r="B16" s="51">
        <f>IFERROR(IF(B$7-IF(ASSUMPTIONS!$C$16="",0,ASSUMPTIONS!$C$16)&lt;1,0,IF(ASSUMPTIONS!$C$15="",1,ASSUMPTIONS!$C$15)*INDEX('13-WEEK FORECAST'!$B$11:$N$11,B$7-IF(ASSUMPTIONS!$C$16="",0,ASSUMPTIONS!$C$16))),0)</f>
        <v>0</v>
      </c>
      <c r="C16" s="51">
        <f>IFERROR(IF(C$7-IF(ASSUMPTIONS!$C$16="",0,ASSUMPTIONS!$C$16)&lt;1,0,IF(ASSUMPTIONS!$C$15="",1,ASSUMPTIONS!$C$15)*INDEX('13-WEEK FORECAST'!$B$11:$N$11,C$7-IF(ASSUMPTIONS!$C$16="",0,ASSUMPTIONS!$C$16))),0)</f>
        <v>35100</v>
      </c>
      <c r="D16" s="51">
        <f>IFERROR(IF(D$7-IF(ASSUMPTIONS!$C$16="",0,ASSUMPTIONS!$C$16)&lt;1,0,IF(ASSUMPTIONS!$C$15="",1,ASSUMPTIONS!$C$15)*INDEX('13-WEEK FORECAST'!$B$11:$N$11,D$7-IF(ASSUMPTIONS!$C$16="",0,ASSUMPTIONS!$C$16))),0)</f>
        <v>31050</v>
      </c>
      <c r="E16" s="51">
        <f>IFERROR(IF(E$7-IF(ASSUMPTIONS!$C$16="",0,ASSUMPTIONS!$C$16)&lt;1,0,IF(ASSUMPTIONS!$C$15="",1,ASSUMPTIONS!$C$15)*INDEX('13-WEEK FORECAST'!$B$11:$N$11,E$7-IF(ASSUMPTIONS!$C$16="",0,ASSUMPTIONS!$C$16))),0)</f>
        <v>40950</v>
      </c>
      <c r="F16" s="51">
        <f>IFERROR(IF(F$7-IF(ASSUMPTIONS!$C$16="",0,ASSUMPTIONS!$C$16)&lt;1,0,IF(ASSUMPTIONS!$C$15="",1,ASSUMPTIONS!$C$15)*INDEX('13-WEEK FORECAST'!$B$11:$N$11,F$7-IF(ASSUMPTIONS!$C$16="",0,ASSUMPTIONS!$C$16))),0)</f>
        <v>27900</v>
      </c>
      <c r="G16" s="51">
        <f>IFERROR(IF(G$7-IF(ASSUMPTIONS!$C$16="",0,ASSUMPTIONS!$C$16)&lt;1,0,IF(ASSUMPTIONS!$C$15="",1,ASSUMPTIONS!$C$15)*INDEX('13-WEEK FORECAST'!$B$11:$N$11,G$7-IF(ASSUMPTIONS!$C$16="",0,ASSUMPTIONS!$C$16))),0)</f>
        <v>38250</v>
      </c>
      <c r="H16" s="51">
        <f>IFERROR(IF(H$7-IF(ASSUMPTIONS!$C$16="",0,ASSUMPTIONS!$C$16)&lt;1,0,IF(ASSUMPTIONS!$C$15="",1,ASSUMPTIONS!$C$15)*INDEX('13-WEEK FORECAST'!$B$11:$N$11,H$7-IF(ASSUMPTIONS!$C$16="",0,ASSUMPTIONS!$C$16))),0)</f>
        <v>31950</v>
      </c>
      <c r="I16" s="51">
        <f>IFERROR(IF(I$7-IF(ASSUMPTIONS!$C$16="",0,ASSUMPTIONS!$C$16)&lt;1,0,IF(ASSUMPTIONS!$C$15="",1,ASSUMPTIONS!$C$15)*INDEX('13-WEEK FORECAST'!$B$11:$N$11,I$7-IF(ASSUMPTIONS!$C$16="",0,ASSUMPTIONS!$C$16))),0)</f>
        <v>24300</v>
      </c>
      <c r="J16" s="51">
        <f>IFERROR(IF(J$7-IF(ASSUMPTIONS!$C$16="",0,ASSUMPTIONS!$C$16)&lt;1,0,IF(ASSUMPTIONS!$C$15="",1,ASSUMPTIONS!$C$15)*INDEX('13-WEEK FORECAST'!$B$11:$N$11,J$7-IF(ASSUMPTIONS!$C$16="",0,ASSUMPTIONS!$C$16))),0)</f>
        <v>26550</v>
      </c>
      <c r="K16" s="51">
        <f>IFERROR(IF(K$7-IF(ASSUMPTIONS!$C$16="",0,ASSUMPTIONS!$C$16)&lt;1,0,IF(ASSUMPTIONS!$C$15="",1,ASSUMPTIONS!$C$15)*INDEX('13-WEEK FORECAST'!$B$11:$N$11,K$7-IF(ASSUMPTIONS!$C$16="",0,ASSUMPTIONS!$C$16))),0)</f>
        <v>28350</v>
      </c>
      <c r="L16" s="51">
        <f>IFERROR(IF(L$7-IF(ASSUMPTIONS!$C$16="",0,ASSUMPTIONS!$C$16)&lt;1,0,IF(ASSUMPTIONS!$C$15="",1,ASSUMPTIONS!$C$15)*INDEX('13-WEEK FORECAST'!$B$11:$N$11,L$7-IF(ASSUMPTIONS!$C$16="",0,ASSUMPTIONS!$C$16))),0)</f>
        <v>37350</v>
      </c>
      <c r="M16" s="51">
        <f>IFERROR(IF(M$7-IF(ASSUMPTIONS!$C$16="",0,ASSUMPTIONS!$C$16)&lt;1,0,IF(ASSUMPTIONS!$C$15="",1,ASSUMPTIONS!$C$15)*INDEX('13-WEEK FORECAST'!$B$11:$N$11,M$7-IF(ASSUMPTIONS!$C$16="",0,ASSUMPTIONS!$C$16))),0)</f>
        <v>32850</v>
      </c>
      <c r="N16" s="51">
        <f>IFERROR(IF(N$7-IF(ASSUMPTIONS!$C$16="",0,ASSUMPTIONS!$C$16)&lt;1,0,IF(ASSUMPTIONS!$C$15="",1,ASSUMPTIONS!$C$15)*INDEX('13-WEEK FORECAST'!$B$11:$N$11,N$7-IF(ASSUMPTIONS!$C$16="",0,ASSUMPTIONS!$C$16))),0)</f>
        <v>43650</v>
      </c>
    </row>
    <row r="17" spans="1:14" ht="16.5" customHeight="1" x14ac:dyDescent="0.35">
      <c r="A17" s="44" t="s">
        <v>185</v>
      </c>
      <c r="B17" s="51">
        <f>SUM('13-WEEK FORECAST'!B12:B16)</f>
        <v>0</v>
      </c>
      <c r="C17" s="51">
        <f>SUM('13-WEEK FORECAST'!C12:C16)</f>
        <v>0</v>
      </c>
      <c r="D17" s="51">
        <f>SUM('13-WEEK FORECAST'!D12:D16)</f>
        <v>1200</v>
      </c>
      <c r="E17" s="51">
        <f>SUM('13-WEEK FORECAST'!E12:E16)</f>
        <v>0</v>
      </c>
      <c r="F17" s="51">
        <f>SUM('13-WEEK FORECAST'!F12:F16)</f>
        <v>0</v>
      </c>
      <c r="G17" s="51">
        <f>SUM('13-WEEK FORECAST'!G12:G16)</f>
        <v>4800</v>
      </c>
      <c r="H17" s="51">
        <f>SUM('13-WEEK FORECAST'!H12:H16)</f>
        <v>0</v>
      </c>
      <c r="I17" s="51">
        <f>SUM('13-WEEK FORECAST'!I12:I16)</f>
        <v>900</v>
      </c>
      <c r="J17" s="51">
        <f>SUM('13-WEEK FORECAST'!J12:J16)</f>
        <v>0</v>
      </c>
      <c r="K17" s="51">
        <f>SUM('13-WEEK FORECAST'!K12:K16)</f>
        <v>0</v>
      </c>
      <c r="L17" s="51">
        <f>SUM('13-WEEK FORECAST'!L12:L16)</f>
        <v>750</v>
      </c>
      <c r="M17" s="51">
        <f>SUM('13-WEEK FORECAST'!M12:M16)</f>
        <v>1500</v>
      </c>
      <c r="N17" s="51">
        <f>SUM('13-WEEK FORECAST'!N12:N16)</f>
        <v>0</v>
      </c>
    </row>
    <row r="18" spans="1:14" ht="16.5" customHeight="1" x14ac:dyDescent="0.35">
      <c r="A18" s="44" t="s">
        <v>159</v>
      </c>
      <c r="B18" s="75">
        <f t="shared" ref="B18:N18" si="1">B16+B17</f>
        <v>0</v>
      </c>
      <c r="C18" s="75">
        <f t="shared" si="1"/>
        <v>35100</v>
      </c>
      <c r="D18" s="75">
        <f t="shared" si="1"/>
        <v>32250</v>
      </c>
      <c r="E18" s="75">
        <f t="shared" si="1"/>
        <v>40950</v>
      </c>
      <c r="F18" s="75">
        <f t="shared" si="1"/>
        <v>27900</v>
      </c>
      <c r="G18" s="75">
        <f t="shared" si="1"/>
        <v>43050</v>
      </c>
      <c r="H18" s="75">
        <f t="shared" si="1"/>
        <v>31950</v>
      </c>
      <c r="I18" s="75">
        <f t="shared" si="1"/>
        <v>25200</v>
      </c>
      <c r="J18" s="75">
        <f t="shared" si="1"/>
        <v>26550</v>
      </c>
      <c r="K18" s="75">
        <f t="shared" si="1"/>
        <v>28350</v>
      </c>
      <c r="L18" s="75">
        <f t="shared" si="1"/>
        <v>38100</v>
      </c>
      <c r="M18" s="75">
        <f t="shared" si="1"/>
        <v>34350</v>
      </c>
      <c r="N18" s="75">
        <f t="shared" si="1"/>
        <v>43650</v>
      </c>
    </row>
    <row r="19" spans="1:14" ht="16.5" customHeight="1" x14ac:dyDescent="0.35">
      <c r="A19" s="44" t="s">
        <v>186</v>
      </c>
      <c r="B19" s="51">
        <f>IFERROR(('13-WEEK FORECAST'!B25+'13-WEEK FORECAST'!B38+'13-WEEK FORECAST'!B44)*IF(ASSUMPTIONS!$C$17="",1,ASSUMPTIONS!$C$17),0)</f>
        <v>21262.5</v>
      </c>
      <c r="C19" s="51">
        <f>IFERROR(('13-WEEK FORECAST'!C25+'13-WEEK FORECAST'!C38+'13-WEEK FORECAST'!C44)*IF(ASSUMPTIONS!$C$17="",1,ASSUMPTIONS!$C$17),0)</f>
        <v>50263.5</v>
      </c>
      <c r="D19" s="51">
        <f>IFERROR(('13-WEEK FORECAST'!D25+'13-WEEK FORECAST'!D38+'13-WEEK FORECAST'!D44)*IF(ASSUMPTIONS!$C$17="",1,ASSUMPTIONS!$C$17),0)</f>
        <v>20412</v>
      </c>
      <c r="E19" s="51">
        <f>IFERROR(('13-WEEK FORECAST'!E25+'13-WEEK FORECAST'!E38+'13-WEEK FORECAST'!E44)*IF(ASSUMPTIONS!$C$17="",1,ASSUMPTIONS!$C$17),0)</f>
        <v>45874.5</v>
      </c>
      <c r="F19" s="51">
        <f>IFERROR(('13-WEEK FORECAST'!F25+'13-WEEK FORECAST'!F38+'13-WEEK FORECAST'!F44)*IF(ASSUMPTIONS!$C$17="",1,ASSUMPTIONS!$C$17),0)</f>
        <v>18070.5</v>
      </c>
      <c r="G19" s="51">
        <f>IFERROR(('13-WEEK FORECAST'!G25+'13-WEEK FORECAST'!G38+'13-WEEK FORECAST'!G44)*IF(ASSUMPTIONS!$C$17="",1,ASSUMPTIONS!$C$17),0)</f>
        <v>43165.5</v>
      </c>
      <c r="H19" s="51">
        <f>IFERROR(('13-WEEK FORECAST'!H25+'13-WEEK FORECAST'!H38+'13-WEEK FORECAST'!H44)*IF(ASSUMPTIONS!$C$17="",1,ASSUMPTIONS!$C$17),0)</f>
        <v>28560</v>
      </c>
      <c r="I19" s="51">
        <f>IFERROR(('13-WEEK FORECAST'!I25+'13-WEEK FORECAST'!I38+'13-WEEK FORECAST'!I44)*IF(ASSUMPTIONS!$C$17="",1,ASSUMPTIONS!$C$17),0)</f>
        <v>44625</v>
      </c>
      <c r="J19" s="51">
        <f>IFERROR(('13-WEEK FORECAST'!J25+'13-WEEK FORECAST'!J38+'13-WEEK FORECAST'!J44)*IF(ASSUMPTIONS!$C$17="",1,ASSUMPTIONS!$C$17),0)</f>
        <v>5239.5</v>
      </c>
      <c r="K19" s="51">
        <f>IFERROR(('13-WEEK FORECAST'!K25+'13-WEEK FORECAST'!K38+'13-WEEK FORECAST'!K44)*IF(ASSUMPTIONS!$C$17="",1,ASSUMPTIONS!$C$17),0)</f>
        <v>59619</v>
      </c>
      <c r="L19" s="51">
        <f>IFERROR(('13-WEEK FORECAST'!L25+'13-WEEK FORECAST'!L38+'13-WEEK FORECAST'!L44)*IF(ASSUMPTIONS!$C$17="",1,ASSUMPTIONS!$C$17),0)</f>
        <v>27111</v>
      </c>
      <c r="M19" s="51">
        <f>IFERROR(('13-WEEK FORECAST'!M25+'13-WEEK FORECAST'!M38+'13-WEEK FORECAST'!M44)*IF(ASSUMPTIONS!$C$17="",1,ASSUMPTIONS!$C$17),0)</f>
        <v>35731.5</v>
      </c>
      <c r="N19" s="51">
        <f>IFERROR(('13-WEEK FORECAST'!N25+'13-WEEK FORECAST'!N38+'13-WEEK FORECAST'!N44)*IF(ASSUMPTIONS!$C$17="",1,ASSUMPTIONS!$C$17),0)</f>
        <v>7969.5</v>
      </c>
    </row>
    <row r="20" spans="1:14" ht="16.5" customHeight="1" x14ac:dyDescent="0.35">
      <c r="A20" s="44" t="s">
        <v>187</v>
      </c>
      <c r="B20" s="51">
        <f>'13-WEEK FORECAST'!B50+'13-WEEK FORECAST'!B57+'13-WEEK FORECAST'!B65</f>
        <v>4250</v>
      </c>
      <c r="C20" s="51">
        <f>'13-WEEK FORECAST'!C50+'13-WEEK FORECAST'!C57+'13-WEEK FORECAST'!C65</f>
        <v>1875</v>
      </c>
      <c r="D20" s="51">
        <f>'13-WEEK FORECAST'!D50+'13-WEEK FORECAST'!D57+'13-WEEK FORECAST'!D65</f>
        <v>0</v>
      </c>
      <c r="E20" s="51">
        <f>'13-WEEK FORECAST'!E50+'13-WEEK FORECAST'!E57+'13-WEEK FORECAST'!E65</f>
        <v>7500</v>
      </c>
      <c r="F20" s="51">
        <f>'13-WEEK FORECAST'!F50+'13-WEEK FORECAST'!F57+'13-WEEK FORECAST'!F65</f>
        <v>4220</v>
      </c>
      <c r="G20" s="51">
        <f>'13-WEEK FORECAST'!G50+'13-WEEK FORECAST'!G57+'13-WEEK FORECAST'!G65</f>
        <v>1875</v>
      </c>
      <c r="H20" s="51">
        <f>'13-WEEK FORECAST'!H50+'13-WEEK FORECAST'!H57+'13-WEEK FORECAST'!H65</f>
        <v>18600</v>
      </c>
      <c r="I20" s="51">
        <f>'13-WEEK FORECAST'!I50+'13-WEEK FORECAST'!I57+'13-WEEK FORECAST'!I65</f>
        <v>33500</v>
      </c>
      <c r="J20" s="51">
        <f>'13-WEEK FORECAST'!J50+'13-WEEK FORECAST'!J57+'13-WEEK FORECAST'!J65</f>
        <v>4190</v>
      </c>
      <c r="K20" s="51">
        <f>'13-WEEK FORECAST'!K50+'13-WEEK FORECAST'!K57+'13-WEEK FORECAST'!K65</f>
        <v>1875</v>
      </c>
      <c r="L20" s="51">
        <f>'13-WEEK FORECAST'!L50+'13-WEEK FORECAST'!L57+'13-WEEK FORECAST'!L65</f>
        <v>0</v>
      </c>
      <c r="M20" s="51">
        <f>'13-WEEK FORECAST'!M50+'13-WEEK FORECAST'!M57+'13-WEEK FORECAST'!M65</f>
        <v>7500</v>
      </c>
      <c r="N20" s="51">
        <f>'13-WEEK FORECAST'!N50+'13-WEEK FORECAST'!N57+'13-WEEK FORECAST'!N65</f>
        <v>4160</v>
      </c>
    </row>
    <row r="21" spans="1:14" ht="16.5" customHeight="1" x14ac:dyDescent="0.35">
      <c r="A21" s="44" t="s">
        <v>160</v>
      </c>
      <c r="B21" s="75">
        <f t="shared" ref="B21:N21" si="2">B19+B20</f>
        <v>25512.5</v>
      </c>
      <c r="C21" s="75">
        <f t="shared" si="2"/>
        <v>52138.5</v>
      </c>
      <c r="D21" s="75">
        <f t="shared" si="2"/>
        <v>20412</v>
      </c>
      <c r="E21" s="75">
        <f t="shared" si="2"/>
        <v>53374.5</v>
      </c>
      <c r="F21" s="75">
        <f t="shared" si="2"/>
        <v>22290.5</v>
      </c>
      <c r="G21" s="75">
        <f t="shared" si="2"/>
        <v>45040.5</v>
      </c>
      <c r="H21" s="75">
        <f t="shared" si="2"/>
        <v>47160</v>
      </c>
      <c r="I21" s="75">
        <f t="shared" si="2"/>
        <v>78125</v>
      </c>
      <c r="J21" s="75">
        <f t="shared" si="2"/>
        <v>9429.5</v>
      </c>
      <c r="K21" s="75">
        <f t="shared" si="2"/>
        <v>61494</v>
      </c>
      <c r="L21" s="75">
        <f t="shared" si="2"/>
        <v>27111</v>
      </c>
      <c r="M21" s="75">
        <f t="shared" si="2"/>
        <v>43231.5</v>
      </c>
      <c r="N21" s="75">
        <f t="shared" si="2"/>
        <v>12129.5</v>
      </c>
    </row>
    <row r="22" spans="1:14" ht="16.5" customHeight="1" x14ac:dyDescent="0.35">
      <c r="A22" s="44" t="s">
        <v>161</v>
      </c>
      <c r="B22" s="51">
        <f t="shared" ref="B22:N22" si="3">B18-B21</f>
        <v>-25512.5</v>
      </c>
      <c r="C22" s="51">
        <f t="shared" si="3"/>
        <v>-17038.5</v>
      </c>
      <c r="D22" s="51">
        <f t="shared" si="3"/>
        <v>11838</v>
      </c>
      <c r="E22" s="51">
        <f t="shared" si="3"/>
        <v>-12424.5</v>
      </c>
      <c r="F22" s="51">
        <f t="shared" si="3"/>
        <v>5609.5</v>
      </c>
      <c r="G22" s="51">
        <f t="shared" si="3"/>
        <v>-1990.5</v>
      </c>
      <c r="H22" s="51">
        <f t="shared" si="3"/>
        <v>-15210</v>
      </c>
      <c r="I22" s="51">
        <f t="shared" si="3"/>
        <v>-52925</v>
      </c>
      <c r="J22" s="51">
        <f t="shared" si="3"/>
        <v>17120.5</v>
      </c>
      <c r="K22" s="51">
        <f t="shared" si="3"/>
        <v>-33144</v>
      </c>
      <c r="L22" s="51">
        <f t="shared" si="3"/>
        <v>10989</v>
      </c>
      <c r="M22" s="51">
        <f t="shared" si="3"/>
        <v>-8881.5</v>
      </c>
      <c r="N22" s="51">
        <f t="shared" si="3"/>
        <v>31520.5</v>
      </c>
    </row>
    <row r="23" spans="1:14" ht="16.5" customHeight="1" x14ac:dyDescent="0.35">
      <c r="A23" s="44" t="s">
        <v>58</v>
      </c>
      <c r="B23" s="51">
        <f>ASSUMPTIONS!$C$9</f>
        <v>142500</v>
      </c>
      <c r="C23" s="51">
        <f t="shared" ref="C23:N23" si="4">B24</f>
        <v>116987.5</v>
      </c>
      <c r="D23" s="51">
        <f t="shared" si="4"/>
        <v>99949</v>
      </c>
      <c r="E23" s="51">
        <f t="shared" si="4"/>
        <v>111787</v>
      </c>
      <c r="F23" s="51">
        <f t="shared" si="4"/>
        <v>99362.5</v>
      </c>
      <c r="G23" s="51">
        <f t="shared" si="4"/>
        <v>104972</v>
      </c>
      <c r="H23" s="51">
        <f t="shared" si="4"/>
        <v>102981.5</v>
      </c>
      <c r="I23" s="51">
        <f t="shared" si="4"/>
        <v>87771.5</v>
      </c>
      <c r="J23" s="51">
        <f t="shared" si="4"/>
        <v>34846.5</v>
      </c>
      <c r="K23" s="51">
        <f t="shared" si="4"/>
        <v>51967</v>
      </c>
      <c r="L23" s="51">
        <f t="shared" si="4"/>
        <v>18823</v>
      </c>
      <c r="M23" s="51">
        <f t="shared" si="4"/>
        <v>29812</v>
      </c>
      <c r="N23" s="51">
        <f t="shared" si="4"/>
        <v>20930.5</v>
      </c>
    </row>
    <row r="24" spans="1:14" ht="19.5" customHeight="1" x14ac:dyDescent="0.35">
      <c r="A24" s="40" t="s">
        <v>182</v>
      </c>
      <c r="B24" s="41">
        <f t="shared" ref="B24:N24" si="5">B23+B22</f>
        <v>116987.5</v>
      </c>
      <c r="C24" s="41">
        <f t="shared" si="5"/>
        <v>99949</v>
      </c>
      <c r="D24" s="41">
        <f t="shared" si="5"/>
        <v>111787</v>
      </c>
      <c r="E24" s="41">
        <f t="shared" si="5"/>
        <v>99362.5</v>
      </c>
      <c r="F24" s="41">
        <f t="shared" si="5"/>
        <v>104972</v>
      </c>
      <c r="G24" s="41">
        <f t="shared" si="5"/>
        <v>102981.5</v>
      </c>
      <c r="H24" s="41">
        <f t="shared" si="5"/>
        <v>87771.5</v>
      </c>
      <c r="I24" s="41">
        <f t="shared" si="5"/>
        <v>34846.5</v>
      </c>
      <c r="J24" s="41">
        <f t="shared" si="5"/>
        <v>51967</v>
      </c>
      <c r="K24" s="41">
        <f t="shared" si="5"/>
        <v>18823</v>
      </c>
      <c r="L24" s="41">
        <f t="shared" si="5"/>
        <v>29812</v>
      </c>
      <c r="M24" s="41">
        <f t="shared" si="5"/>
        <v>20930.5</v>
      </c>
      <c r="N24" s="41">
        <f t="shared" si="5"/>
        <v>52451</v>
      </c>
    </row>
    <row r="25" spans="1:14" ht="12" customHeight="1" x14ac:dyDescent="0.35"/>
    <row r="26" spans="1:14" ht="18.75" customHeight="1" x14ac:dyDescent="0.35">
      <c r="A26" s="42" t="s">
        <v>188</v>
      </c>
      <c r="B26" s="15"/>
      <c r="C26" s="15"/>
      <c r="D26" s="15"/>
    </row>
    <row r="27" spans="1:14" ht="18" customHeight="1" x14ac:dyDescent="0.35">
      <c r="A27" s="76" t="s">
        <v>157</v>
      </c>
      <c r="B27" s="23" t="s">
        <v>189</v>
      </c>
      <c r="C27" s="23" t="s">
        <v>190</v>
      </c>
      <c r="D27" s="23" t="s">
        <v>191</v>
      </c>
    </row>
    <row r="28" spans="1:14" ht="18.75" customHeight="1" x14ac:dyDescent="0.35">
      <c r="A28" s="77" t="s">
        <v>192</v>
      </c>
      <c r="B28" s="78">
        <f>N13</f>
        <v>154625</v>
      </c>
      <c r="C28" s="79">
        <f>N24</f>
        <v>52451</v>
      </c>
      <c r="D28" s="80">
        <f>IFERROR(C28-B28,0)</f>
        <v>-102174</v>
      </c>
    </row>
    <row r="29" spans="1:14" ht="18.75" customHeight="1" x14ac:dyDescent="0.35">
      <c r="A29" s="81" t="s">
        <v>193</v>
      </c>
      <c r="B29" s="82">
        <f>MIN($B$13:$N$13)</f>
        <v>102810</v>
      </c>
      <c r="C29" s="83">
        <f>MIN($B$24:$N$24)</f>
        <v>18823</v>
      </c>
      <c r="D29" s="84">
        <f>IFERROR(C29-B29,0)</f>
        <v>-83987</v>
      </c>
    </row>
    <row r="30" spans="1:14" ht="18.75" customHeight="1" x14ac:dyDescent="0.35">
      <c r="A30" s="81" t="s">
        <v>194</v>
      </c>
      <c r="B30" s="85" t="str">
        <f>"Week "&amp;MATCH(MIN($B$13:$N$13),$B$13:$N$13,0)</f>
        <v>Week 8</v>
      </c>
      <c r="C30" s="86" t="str">
        <f>"Week "&amp;MATCH(MIN($B$24:$N$24),$B$24:$N$24,0)</f>
        <v>Week 10</v>
      </c>
      <c r="D30" s="87" t="s">
        <v>25</v>
      </c>
    </row>
    <row r="31" spans="1:14" ht="18.75" customHeight="1" x14ac:dyDescent="0.35">
      <c r="A31" s="81" t="s">
        <v>195</v>
      </c>
      <c r="B31" s="88">
        <f>COUNTIF($B$13:$N$13,"&lt;"&amp;ASSUMPTIONS!$C$10)</f>
        <v>3</v>
      </c>
      <c r="C31" s="89">
        <f>COUNTIF($B$24:$N$24,"&lt;"&amp;ASSUMPTIONS!$C$10)</f>
        <v>13</v>
      </c>
      <c r="D31" s="90">
        <f>IFERROR(C31-B31,0)</f>
        <v>10</v>
      </c>
    </row>
    <row r="32" spans="1:14" ht="18.75" customHeight="1" x14ac:dyDescent="0.35">
      <c r="A32" s="81" t="s">
        <v>196</v>
      </c>
      <c r="B32" s="88">
        <f>COUNTIF($B$13:$N$13,"&lt;0")</f>
        <v>0</v>
      </c>
      <c r="C32" s="89">
        <f>COUNTIF($B$24:$N$24,"&lt;0")</f>
        <v>0</v>
      </c>
      <c r="D32" s="90">
        <f>IFERROR(C32-B32,0)</f>
        <v>0</v>
      </c>
    </row>
    <row r="34" spans="1:14" ht="15" customHeight="1" x14ac:dyDescent="0.35">
      <c r="A34" s="118" t="s">
        <v>197</v>
      </c>
      <c r="B34" s="118"/>
      <c r="C34" s="118"/>
      <c r="D34" s="118"/>
    </row>
    <row r="35" spans="1:14" ht="15" customHeight="1" x14ac:dyDescent="0.35">
      <c r="A35" s="118"/>
      <c r="B35" s="118"/>
      <c r="C35" s="118"/>
      <c r="D35" s="118"/>
    </row>
    <row r="36" spans="1:14" ht="15" customHeight="1" x14ac:dyDescent="0.35">
      <c r="A36" s="118"/>
      <c r="B36" s="118"/>
      <c r="C36" s="118"/>
      <c r="D36" s="118"/>
    </row>
    <row r="37" spans="1:14" ht="15" customHeight="1" x14ac:dyDescent="0.35">
      <c r="A37" s="118"/>
      <c r="B37" s="118"/>
      <c r="C37" s="118"/>
      <c r="D37" s="118"/>
    </row>
    <row r="38" spans="1:14" ht="15" customHeight="1" x14ac:dyDescent="0.35">
      <c r="A38" s="118"/>
      <c r="B38" s="118"/>
      <c r="C38" s="118"/>
      <c r="D38" s="118"/>
    </row>
    <row r="47" spans="1:14" ht="18" customHeight="1" x14ac:dyDescent="0.35">
      <c r="A47" s="113" t="s">
        <v>177</v>
      </c>
      <c r="B47" s="113"/>
      <c r="C47" s="113"/>
      <c r="D47" s="113"/>
      <c r="E47" s="113"/>
      <c r="F47" s="113"/>
      <c r="G47" s="113"/>
      <c r="H47" s="113"/>
      <c r="I47" s="113"/>
      <c r="J47" s="113"/>
      <c r="K47" s="113"/>
      <c r="L47" s="113"/>
      <c r="M47" s="113"/>
      <c r="N47" s="113"/>
    </row>
  </sheetData>
  <sheetProtection sheet="1" formatCells="0" sort="0" autoFilter="0"/>
  <mergeCells count="5">
    <mergeCell ref="A1:N1"/>
    <mergeCell ref="A2:H2"/>
    <mergeCell ref="A3:N3"/>
    <mergeCell ref="A34:D38"/>
    <mergeCell ref="A47:N47"/>
  </mergeCells>
  <conditionalFormatting sqref="B13:N13">
    <cfRule type="cellIs" dxfId="3" priority="4" operator="lessThan">
      <formula>0</formula>
    </cfRule>
  </conditionalFormatting>
  <conditionalFormatting sqref="B24:N24">
    <cfRule type="cellIs" dxfId="1" priority="2" operator="lessThan">
      <formula>0</formula>
    </cfRule>
  </conditionalFormatting>
  <pageMargins left="0.75" right="0.75" top="1" bottom="1" header="0.511811023622047" footer="0.511811023622047"/>
  <pageSetup fitToHeight="0" orientation="landscape" horizontalDpi="300" verticalDpi="300"/>
  <drawing r:id="rId1"/>
  <extLst>
    <ext xmlns:x14="http://schemas.microsoft.com/office/spreadsheetml/2009/9/main" uri="{78C0D931-6437-407d-A8EE-F0AAD7539E65}">
      <x14:conditionalFormattings>
        <x14:conditionalFormatting xmlns:xm="http://schemas.microsoft.com/office/excel/2006/main">
          <x14:cfRule type="expression" priority="5" id="{00000000-000E-0000-0400-000005000000}">
            <xm:f>B13&lt;ASSUMPTIONS!$C$10</xm:f>
            <x14:dxf>
              <font>
                <b/>
                <sz val="10"/>
                <color rgb="FF9A6209"/>
                <name val="Arial"/>
                <charset val="1"/>
              </font>
              <fill>
                <patternFill>
                  <bgColor rgb="FFFDF3E2"/>
                </patternFill>
              </fill>
            </x14:dxf>
          </x14:cfRule>
          <xm:sqref>B13:N13</xm:sqref>
        </x14:conditionalFormatting>
        <x14:conditionalFormatting xmlns:xm="http://schemas.microsoft.com/office/excel/2006/main">
          <x14:cfRule type="expression" priority="3" id="{00000000-000E-0000-0400-000003000000}">
            <xm:f>B24&lt;ASSUMPTIONS!$C$10</xm:f>
            <x14:dxf>
              <font>
                <b/>
                <sz val="10"/>
                <color rgb="FF9A6209"/>
                <name val="Arial"/>
                <charset val="1"/>
              </font>
              <fill>
                <patternFill>
                  <bgColor rgb="FFFDF3E2"/>
                </patternFill>
              </fill>
            </x14:dxf>
          </x14:cfRule>
          <xm:sqref>B24:N24</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2"/>
  <sheetViews>
    <sheetView showGridLines="0" zoomScale="90" zoomScaleNormal="90" workbookViewId="0"/>
  </sheetViews>
  <sheetFormatPr defaultColWidth="8.6328125" defaultRowHeight="14.5" x14ac:dyDescent="0.35"/>
  <cols>
    <col min="1" max="1" width="2.1796875" customWidth="1"/>
    <col min="2" max="13" width="10.6328125" customWidth="1"/>
    <col min="14" max="14" width="2.1796875" customWidth="1"/>
  </cols>
  <sheetData>
    <row r="1" spans="1:14" ht="15.75" customHeight="1" x14ac:dyDescent="0.35">
      <c r="A1" s="15"/>
      <c r="B1" s="119" t="s">
        <v>0</v>
      </c>
      <c r="C1" s="119"/>
      <c r="D1" s="119"/>
      <c r="E1" s="119"/>
      <c r="F1" s="119"/>
      <c r="G1" s="119"/>
      <c r="H1" s="119"/>
      <c r="I1" s="119"/>
      <c r="J1" s="119"/>
      <c r="K1" s="119"/>
      <c r="L1" s="119"/>
      <c r="M1" s="119"/>
      <c r="N1" s="15"/>
    </row>
    <row r="2" spans="1:14" ht="27.75" customHeight="1" x14ac:dyDescent="0.35">
      <c r="A2" s="15"/>
      <c r="B2" s="103" t="s">
        <v>198</v>
      </c>
      <c r="C2" s="103"/>
      <c r="D2" s="103"/>
      <c r="E2" s="103"/>
      <c r="F2" s="103"/>
      <c r="G2" s="103"/>
      <c r="H2" s="103"/>
      <c r="I2" s="120" t="str">
        <f>"13 weeks ending "&amp;TEXT('13-WEEK FORECAST'!N6,"mmm d, yyyy")</f>
        <v>13 weeks ending Dec 6, 2026</v>
      </c>
      <c r="J2" s="120"/>
      <c r="K2" s="120"/>
      <c r="L2" s="120"/>
      <c r="M2" s="120"/>
      <c r="N2" s="15"/>
    </row>
    <row r="3" spans="1:14" ht="15" customHeight="1" x14ac:dyDescent="0.35">
      <c r="A3" s="15"/>
      <c r="B3" s="121" t="s">
        <v>199</v>
      </c>
      <c r="C3" s="121"/>
      <c r="D3" s="121"/>
      <c r="E3" s="121"/>
      <c r="F3" s="121"/>
      <c r="G3" s="121"/>
      <c r="H3" s="121"/>
      <c r="I3" s="121"/>
      <c r="J3" s="121"/>
      <c r="K3" s="121"/>
      <c r="L3" s="121"/>
      <c r="M3" s="121"/>
      <c r="N3" s="15"/>
    </row>
    <row r="4" spans="1:14" ht="7.5" customHeight="1" x14ac:dyDescent="0.35"/>
    <row r="5" spans="1:14" ht="3.75" customHeight="1" x14ac:dyDescent="0.35">
      <c r="B5" s="91"/>
      <c r="C5" s="92"/>
      <c r="D5" s="91"/>
      <c r="E5" s="92"/>
      <c r="F5" s="93"/>
      <c r="G5" s="94"/>
      <c r="H5" s="93"/>
      <c r="I5" s="94"/>
      <c r="J5" s="91"/>
      <c r="K5" s="92"/>
      <c r="L5" s="93"/>
      <c r="M5" s="94"/>
    </row>
    <row r="6" spans="1:14" ht="15" customHeight="1" x14ac:dyDescent="0.35">
      <c r="B6" s="122" t="s">
        <v>200</v>
      </c>
      <c r="C6" s="122"/>
      <c r="D6" s="122" t="s">
        <v>201</v>
      </c>
      <c r="E6" s="122"/>
      <c r="F6" s="122" t="s">
        <v>202</v>
      </c>
      <c r="G6" s="122"/>
      <c r="H6" s="122" t="s">
        <v>203</v>
      </c>
      <c r="I6" s="122"/>
      <c r="J6" s="122" t="s">
        <v>204</v>
      </c>
      <c r="K6" s="122"/>
      <c r="L6" s="122" t="s">
        <v>205</v>
      </c>
      <c r="M6" s="122"/>
    </row>
    <row r="7" spans="1:14" ht="25.5" customHeight="1" x14ac:dyDescent="0.35">
      <c r="B7" s="123">
        <f>'13-WEEK FORECAST'!B70</f>
        <v>142500</v>
      </c>
      <c r="C7" s="123"/>
      <c r="D7" s="123">
        <f>'13-WEEK FORECAST'!N74</f>
        <v>154625</v>
      </c>
      <c r="E7" s="123"/>
      <c r="F7" s="123">
        <f>MIN('13-WEEK FORECAST'!$B$74:$N$74)</f>
        <v>102810</v>
      </c>
      <c r="G7" s="123"/>
      <c r="H7" s="124" t="str">
        <f>"Week "&amp;MATCH(MIN('13-WEEK FORECAST'!$B$74:$N$74),'13-WEEK FORECAST'!$B$74:$N$74,0)</f>
        <v>Week 8</v>
      </c>
      <c r="I7" s="124"/>
      <c r="J7" s="123">
        <f>SUM('13-WEEK FORECAST'!$B$73:$N$73)</f>
        <v>12125</v>
      </c>
      <c r="K7" s="123"/>
      <c r="L7" s="125">
        <f>COUNTIF('13-WEEK FORECAST'!$B$74:$N$74,"&lt;"&amp;ASSUMPTIONS!$C$10)</f>
        <v>3</v>
      </c>
      <c r="M7" s="125"/>
    </row>
    <row r="8" spans="1:14" ht="15.75" customHeight="1" x14ac:dyDescent="0.35">
      <c r="B8" s="126" t="s">
        <v>206</v>
      </c>
      <c r="C8" s="126"/>
      <c r="D8" s="126" t="s">
        <v>207</v>
      </c>
      <c r="E8" s="126"/>
      <c r="F8" s="126" t="s">
        <v>208</v>
      </c>
      <c r="G8" s="126"/>
      <c r="H8" s="126" t="str">
        <f>TEXT(INDEX('13-WEEK FORECAST'!$B$6:$N$6,MATCH(MIN('13-WEEK FORECAST'!$B$74:$N$74),'13-WEEK FORECAST'!$B$74:$N$74,0)),"mmm d, yyyy")</f>
        <v>Nov 1, 2026</v>
      </c>
      <c r="I8" s="126"/>
      <c r="J8" s="126" t="s">
        <v>209</v>
      </c>
      <c r="K8" s="126"/>
      <c r="L8" s="126" t="s">
        <v>210</v>
      </c>
      <c r="M8" s="126"/>
    </row>
    <row r="9" spans="1:14" ht="9.75" customHeight="1" x14ac:dyDescent="0.35"/>
    <row r="10" spans="1:14" ht="18.75" customHeight="1" x14ac:dyDescent="0.35">
      <c r="B10" s="127" t="s">
        <v>211</v>
      </c>
      <c r="C10" s="127"/>
      <c r="D10" s="127"/>
      <c r="E10" s="127"/>
      <c r="F10" s="127"/>
      <c r="G10" s="127"/>
      <c r="H10" s="127" t="s">
        <v>212</v>
      </c>
      <c r="I10" s="127"/>
      <c r="J10" s="127"/>
      <c r="K10" s="127"/>
      <c r="L10" s="127"/>
      <c r="M10" s="127"/>
    </row>
    <row r="26" spans="2:13" ht="18.75" customHeight="1" x14ac:dyDescent="0.35">
      <c r="B26" s="127" t="s">
        <v>213</v>
      </c>
      <c r="C26" s="127"/>
      <c r="D26" s="127"/>
      <c r="E26" s="127"/>
      <c r="F26" s="127"/>
      <c r="G26" s="127"/>
      <c r="H26" s="127" t="s">
        <v>214</v>
      </c>
      <c r="I26" s="127"/>
      <c r="J26" s="127"/>
      <c r="K26" s="127"/>
      <c r="L26" s="127"/>
      <c r="M26" s="127"/>
    </row>
    <row r="42" spans="2:13" ht="21" customHeight="1" x14ac:dyDescent="0.35">
      <c r="B42" s="128" t="s">
        <v>215</v>
      </c>
      <c r="C42" s="128"/>
      <c r="D42" s="128"/>
      <c r="E42" s="128"/>
      <c r="F42" s="128"/>
      <c r="G42" s="128"/>
      <c r="H42" s="128"/>
      <c r="I42" s="128"/>
      <c r="J42" s="128"/>
      <c r="K42" s="128"/>
      <c r="L42" s="128"/>
      <c r="M42" s="128"/>
    </row>
    <row r="43" spans="2:13" ht="16.5" customHeight="1" x14ac:dyDescent="0.35">
      <c r="B43" s="95" t="s">
        <v>216</v>
      </c>
      <c r="C43" s="129" t="str">
        <f>IFERROR("Projected cash reaches its lowest point in Week "&amp;MATCH(MIN('13-WEEK FORECAST'!$B$74:$N$74),'13-WEEK FORECAST'!$B$74:$N$74,0)&amp;" (week ending "&amp;TEXT(INDEX('13-WEEK FORECAST'!$B$6:$N$6,MATCH(MIN('13-WEEK FORECAST'!$B$74:$N$74),'13-WEEK FORECAST'!$B$74:$N$74,0)),"mmmm d, yyyy")&amp;"), at "&amp;TEXT(MIN('13-WEEK FORECAST'!$B$74:$N$74),"$#,##0")&amp;".","")</f>
        <v>Projected cash reaches its lowest point in Week 8 (week ending November 1, 2026), at $102,810.</v>
      </c>
      <c r="D43" s="129"/>
      <c r="E43" s="129"/>
      <c r="F43" s="129"/>
      <c r="G43" s="129"/>
      <c r="H43" s="129"/>
      <c r="I43" s="129"/>
      <c r="J43" s="129"/>
      <c r="K43" s="129"/>
      <c r="L43" s="129"/>
      <c r="M43" s="129"/>
    </row>
    <row r="44" spans="2:13" ht="16.5" customHeight="1" x14ac:dyDescent="0.35">
      <c r="B44" s="96" t="s">
        <v>216</v>
      </c>
      <c r="C44" s="130" t="str">
        <f>IFERROR(IF(COUNTIF('13-WEEK FORECAST'!$B$74:$N$74,"&lt;"&amp;ASSUMPTIONS!$C$10)=0,"Cash remains above your selected minimum balance throughout the forecast period.","Cash is projected to fall below your selected minimum balance in "&amp;COUNTIF('13-WEEK FORECAST'!$B$74:$N$74,"&lt;"&amp;ASSUMPTIONS!$C$10)&amp;" of the next 13 weeks."),"")</f>
        <v>Cash is projected to fall below your selected minimum balance in 3 of the next 13 weeks.</v>
      </c>
      <c r="D44" s="130"/>
      <c r="E44" s="130"/>
      <c r="F44" s="130"/>
      <c r="G44" s="130"/>
      <c r="H44" s="130"/>
      <c r="I44" s="130"/>
      <c r="J44" s="130"/>
      <c r="K44" s="130"/>
      <c r="L44" s="130"/>
      <c r="M44" s="130"/>
    </row>
    <row r="45" spans="2:13" ht="16.5" customHeight="1" x14ac:dyDescent="0.35">
      <c r="B45" s="95" t="s">
        <v>216</v>
      </c>
      <c r="C45" s="129" t="str">
        <f>IFERROR(IF(ROUND(SUM('13-WEEK FORECAST'!$B$73:$N$73),0)=0,"Total cash receipts and total cash payments are projected to be equal over the forecast period.",IF(SUM('13-WEEK FORECAST'!$B$73:$N$73)&lt;0,"Total cash payments exceed total cash receipts over the forecast period by "&amp;TEXT(-SUM('13-WEEK FORECAST'!$B$73:$N$73),"$#,##0")&amp;".","Total cash receipts exceed total cash payments over the forecast period by "&amp;TEXT(SUM('13-WEEK FORECAST'!$B$73:$N$73),"$#,##0")&amp;".")),"")</f>
        <v>Total cash receipts exceed total cash payments over the forecast period by $12,125.</v>
      </c>
      <c r="D45" s="129"/>
      <c r="E45" s="129"/>
      <c r="F45" s="129"/>
      <c r="G45" s="129"/>
      <c r="H45" s="129"/>
      <c r="I45" s="129"/>
      <c r="J45" s="129"/>
      <c r="K45" s="129"/>
      <c r="L45" s="129"/>
      <c r="M45" s="129"/>
    </row>
    <row r="46" spans="2:13" ht="16.5" customHeight="1" x14ac:dyDescent="0.35">
      <c r="B46" s="96" t="s">
        <v>216</v>
      </c>
      <c r="C46" s="130" t="str">
        <f>IFERROR(IF(SUM('CASH FLOW SUMMARY'!$C$18:$C$23)=0,"No cash payments have been entered yet — add your expected payments on the 13-WEEK FORECAST tab.",INDEX('CASH FLOW SUMMARY'!$B$18:$B$23,MATCH(MAX('CASH FLOW SUMMARY'!$C$18:$C$23),'CASH FLOW SUMMARY'!$C$18:$C$23,0))&amp;" represents the largest projected cash outflow category at "&amp;TEXT(MAX('CASH FLOW SUMMARY'!$C$18:$C$23),"$#,##0")&amp;", or "&amp;TEXT(MAX('CASH FLOW SUMMARY'!$C$18:$C$23)/SUM('CASH FLOW SUMMARY'!$C$18:$C$23),"0%")&amp;" of total cash payments."),"")</f>
        <v>Payroll &amp; People represents the largest projected cash outflow category at $258,200, or 54% of total cash payments.</v>
      </c>
      <c r="D46" s="130"/>
      <c r="E46" s="130"/>
      <c r="F46" s="130"/>
      <c r="G46" s="130"/>
      <c r="H46" s="130"/>
      <c r="I46" s="130"/>
      <c r="J46" s="130"/>
      <c r="K46" s="130"/>
      <c r="L46" s="130"/>
      <c r="M46" s="130"/>
    </row>
    <row r="47" spans="2:13" ht="16.5" customHeight="1" x14ac:dyDescent="0.35">
      <c r="B47" s="95" t="s">
        <v>216</v>
      </c>
      <c r="C47" s="129" t="str">
        <f>IFERROR(IF(MAX('13-WEEK FORECAST'!$B$67:$N$67)=0,"No cash payments have been entered for the forecast period.","The heaviest payment week is Week "&amp;MATCH(MAX('13-WEEK FORECAST'!$B$67:$N$67),'13-WEEK FORECAST'!$B$67:$N$67,0)&amp;", when "&amp;TEXT(MAX('13-WEEK FORECAST'!$B$67:$N$67),"$#,##0")&amp;" of cash is scheduled to leave the business."),"")</f>
        <v>The heaviest payment week is Week 8, when $76,000 of cash is scheduled to leave the business.</v>
      </c>
      <c r="D47" s="129"/>
      <c r="E47" s="129"/>
      <c r="F47" s="129"/>
      <c r="G47" s="129"/>
      <c r="H47" s="129"/>
      <c r="I47" s="129"/>
      <c r="J47" s="129"/>
      <c r="K47" s="129"/>
      <c r="L47" s="129"/>
      <c r="M47" s="129"/>
    </row>
    <row r="48" spans="2:13" ht="16.5" customHeight="1" x14ac:dyDescent="0.35">
      <c r="B48" s="96" t="s">
        <v>216</v>
      </c>
      <c r="C48" s="130" t="str">
        <f>IFERROR(IF(ROUND('SCENARIO ANALYSIS'!$C$28-'SCENARIO ANALYSIS'!$B$28,0)=0,"Under the downside scenario, projected ending cash is essentially unchanged.",IF('SCENARIO ANALYSIS'!$C$28&lt;'SCENARIO ANALYSIS'!$B$28,"Under the downside scenario, projected ending cash decreases by "&amp;TEXT('SCENARIO ANALYSIS'!$B$28-'SCENARIO ANALYSIS'!$C$28,"$#,##0")&amp;", to "&amp;TEXT('SCENARIO ANALYSIS'!$C$28,"$#,##0")&amp;".","Under the downside scenario, projected ending cash increases by "&amp;TEXT('SCENARIO ANALYSIS'!$C$28-'SCENARIO ANALYSIS'!$B$28,"$#,##0")&amp;", to "&amp;TEXT('SCENARIO ANALYSIS'!$C$28,"$#,##0")&amp;".")),"")</f>
        <v>Under the downside scenario, projected ending cash decreases by $102,174, to $52,451.</v>
      </c>
      <c r="D48" s="130"/>
      <c r="E48" s="130"/>
      <c r="F48" s="130"/>
      <c r="G48" s="130"/>
      <c r="H48" s="130"/>
      <c r="I48" s="130"/>
      <c r="J48" s="130"/>
      <c r="K48" s="130"/>
      <c r="L48" s="130"/>
      <c r="M48" s="130"/>
    </row>
    <row r="49" spans="2:13" ht="16.5" customHeight="1" x14ac:dyDescent="0.35">
      <c r="B49" s="97" t="s">
        <v>216</v>
      </c>
      <c r="C49" s="131" t="str">
        <f>IFERROR(IF(COUNTIF('13-WEEK FORECAST'!$B$74:$N$74,"&lt;0")=0,"No week in the forecast period is projected to end with a negative cash balance.","Cash is projected to end below zero in "&amp;COUNTIF('13-WEEK FORECAST'!$B$74:$N$74,"&lt;0")&amp;" of the 13 forecast weeks."),"")</f>
        <v>No week in the forecast period is projected to end with a negative cash balance.</v>
      </c>
      <c r="D49" s="131"/>
      <c r="E49" s="131"/>
      <c r="F49" s="131"/>
      <c r="G49" s="131"/>
      <c r="H49" s="131"/>
      <c r="I49" s="131"/>
      <c r="J49" s="131"/>
      <c r="K49" s="131"/>
      <c r="L49" s="131"/>
      <c r="M49" s="131"/>
    </row>
    <row r="51" spans="2:13" ht="25.5" customHeight="1" x14ac:dyDescent="0.35">
      <c r="B51" s="132" t="s">
        <v>217</v>
      </c>
      <c r="C51" s="132"/>
      <c r="D51" s="132"/>
      <c r="E51" s="132"/>
      <c r="F51" s="132"/>
      <c r="G51" s="132"/>
      <c r="H51" s="132"/>
      <c r="I51" s="132"/>
      <c r="J51" s="132"/>
      <c r="K51" s="132"/>
      <c r="L51" s="132"/>
      <c r="M51" s="132"/>
    </row>
    <row r="52" spans="2:13" ht="19.5" customHeight="1" x14ac:dyDescent="0.35">
      <c r="B52" s="133" t="s">
        <v>218</v>
      </c>
      <c r="C52" s="133"/>
      <c r="D52" s="133"/>
      <c r="E52" s="133"/>
      <c r="F52" s="133"/>
      <c r="G52" s="133"/>
      <c r="H52" s="133"/>
      <c r="I52" s="133"/>
      <c r="J52" s="133"/>
      <c r="K52" s="133"/>
      <c r="L52" s="133"/>
      <c r="M52" s="133"/>
    </row>
  </sheetData>
  <sheetProtection sheet="1" formatCells="0" sort="0" autoFilter="0"/>
  <mergeCells count="36">
    <mergeCell ref="C48:M48"/>
    <mergeCell ref="C49:M49"/>
    <mergeCell ref="B51:M51"/>
    <mergeCell ref="B52:M52"/>
    <mergeCell ref="C43:M43"/>
    <mergeCell ref="C44:M44"/>
    <mergeCell ref="C45:M45"/>
    <mergeCell ref="C46:M46"/>
    <mergeCell ref="C47:M47"/>
    <mergeCell ref="B10:G10"/>
    <mergeCell ref="H10:M10"/>
    <mergeCell ref="B26:G26"/>
    <mergeCell ref="H26:M26"/>
    <mergeCell ref="B42:M42"/>
    <mergeCell ref="L7:M7"/>
    <mergeCell ref="B8:C8"/>
    <mergeCell ref="D8:E8"/>
    <mergeCell ref="F8:G8"/>
    <mergeCell ref="H8:I8"/>
    <mergeCell ref="J8:K8"/>
    <mergeCell ref="L8:M8"/>
    <mergeCell ref="B7:C7"/>
    <mergeCell ref="D7:E7"/>
    <mergeCell ref="F7:G7"/>
    <mergeCell ref="H7:I7"/>
    <mergeCell ref="J7:K7"/>
    <mergeCell ref="B1:M1"/>
    <mergeCell ref="B2:H2"/>
    <mergeCell ref="I2:M2"/>
    <mergeCell ref="B3:M3"/>
    <mergeCell ref="B6:C6"/>
    <mergeCell ref="D6:E6"/>
    <mergeCell ref="F6:G6"/>
    <mergeCell ref="H6:I6"/>
    <mergeCell ref="J6:K6"/>
    <mergeCell ref="L6:M6"/>
  </mergeCells>
  <pageMargins left="0.3" right="0.3" top="0.35" bottom="0.35" header="0.511811023622047" footer="0.511811023622047"/>
  <pageSetup orientation="landscape" horizontalDpi="300" verticalDpi="300"/>
  <drawing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START HERE</vt:lpstr>
      <vt:lpstr>ASSUMPTIONS</vt:lpstr>
      <vt:lpstr>13-WEEK FORECAST</vt:lpstr>
      <vt:lpstr>CASH FLOW SUMMARY</vt:lpstr>
      <vt:lpstr>SCENARIO ANALYSIS</vt:lpstr>
      <vt:lpstr>EXECUTIVE DASHBOARD</vt:lpstr>
      <vt:lpstr>'13-WEEK FORECAST'!Print_Area</vt:lpstr>
      <vt:lpstr>ASSUMPTIONS!Print_Area</vt:lpstr>
      <vt:lpstr>'CASH FLOW SUMMARY'!Print_Area</vt:lpstr>
      <vt:lpstr>'EXECUTIVE DASHBOARD'!Print_Area</vt:lpstr>
      <vt:lpstr>'SCENARIO ANALYSIS'!Print_Area</vt:lpstr>
      <vt:lpstr>'START HERE'!Print_Area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13-Week Cash Flow Forecast</dc:title>
  <dc:subject>Rolling 13-week cash flow forecast for owner-led businesses</dc:subject>
  <dc:creator>Vertex Strategic Finance</dc:creator>
  <dc:description>Free tool from Vertex Strategic Finance. All sample data is fictional and provided for illustration only.</dc:description>
  <cp:lastModifiedBy>Senthuran Selvanathan</cp:lastModifiedBy>
  <cp:revision>1</cp:revision>
  <dcterms:created xsi:type="dcterms:W3CDTF">2026-08-28T20:37:48Z</dcterms:created>
  <dcterms:modified xsi:type="dcterms:W3CDTF">2026-08-28T20:44:03Z</dcterms:modified>
  <dc:language>en-US</dc:language>
</cp:coreProperties>
</file>