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3d67ec76a37ead1/Desktop/Vertex Strategic Finance/Resources - Lead Magnets/"/>
    </mc:Choice>
  </mc:AlternateContent>
  <xr:revisionPtr revIDLastSave="0" documentId="8_{2A1E6432-879B-45EB-A396-6AEF753A2E7B}" xr6:coauthVersionLast="47" xr6:coauthVersionMax="47" xr10:uidLastSave="{00000000-0000-0000-0000-000000000000}"/>
  <bookViews>
    <workbookView xWindow="47265" yWindow="-735" windowWidth="31005" windowHeight="17910" tabRatio="599" xr2:uid="{00000000-000D-0000-FFFF-FFFF00000000}"/>
  </bookViews>
  <sheets>
    <sheet name="START HERE" sheetId="1" r:id="rId1"/>
    <sheet name="FINANCIAL INPUTS" sheetId="2" r:id="rId2"/>
    <sheet name="WORKING CAPITAL" sheetId="3" r:id="rId3"/>
    <sheet name="PROFIT TO CASH BRIDGE" sheetId="4" r:id="rId4"/>
    <sheet name="CASH DRIVERS" sheetId="5" r:id="rId5"/>
    <sheet name="ACTION PLAN" sheetId="6" r:id="rId6"/>
    <sheet name="EXECUTIVE DASHBOARD" sheetId="7" r:id="rId7"/>
  </sheets>
  <definedNames>
    <definedName name="_xlnm.Print_Area" localSheetId="5">'ACTION PLAN'!$A$1:$E$36</definedName>
    <definedName name="_xlnm.Print_Area" localSheetId="4">'CASH DRIVERS'!$A$1:$F$49</definedName>
    <definedName name="_xlnm.Print_Area" localSheetId="6">'EXECUTIVE DASHBOARD'!$A$1:$V$71</definedName>
    <definedName name="_xlnm.Print_Area" localSheetId="1">'FINANCIAL INPUTS'!$A$1:$I$68</definedName>
    <definedName name="_xlnm.Print_Area" localSheetId="3">'PROFIT TO CASH BRIDGE'!$A$1:$I$65</definedName>
    <definedName name="_xlnm.Print_Area" localSheetId="0">'START HERE'!$A$1:$I$67</definedName>
    <definedName name="_xlnm.Print_Area" localSheetId="2">'WORKING CAPITAL'!$A$1:$I$29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65" i="7" l="1"/>
  <c r="G19" i="7"/>
  <c r="L18" i="7"/>
  <c r="G18" i="7"/>
  <c r="B18" i="7"/>
  <c r="B13" i="7"/>
  <c r="K2" i="7"/>
  <c r="AB11" i="6"/>
  <c r="Y11" i="6"/>
  <c r="AB10" i="6"/>
  <c r="Z10" i="6"/>
  <c r="Y10" i="6"/>
  <c r="Z9" i="6"/>
  <c r="Y9" i="6"/>
  <c r="AB7" i="6"/>
  <c r="D2" i="6"/>
  <c r="C44" i="5"/>
  <c r="C43" i="5"/>
  <c r="C42" i="5"/>
  <c r="AA10" i="6" s="1"/>
  <c r="C41" i="5"/>
  <c r="C20" i="5"/>
  <c r="Z19" i="5"/>
  <c r="Y19" i="5"/>
  <c r="E19" i="5"/>
  <c r="C19" i="5"/>
  <c r="C18" i="5"/>
  <c r="C17" i="5"/>
  <c r="C16" i="5"/>
  <c r="C15" i="5"/>
  <c r="C9" i="5"/>
  <c r="C8" i="5"/>
  <c r="D2" i="5"/>
  <c r="C38" i="4"/>
  <c r="C37" i="4"/>
  <c r="C39" i="4" s="1"/>
  <c r="Z11" i="4" s="1"/>
  <c r="C35" i="4"/>
  <c r="Z10" i="4" s="1"/>
  <c r="C34" i="4"/>
  <c r="C33" i="4"/>
  <c r="C32" i="4"/>
  <c r="C31" i="4"/>
  <c r="C29" i="4"/>
  <c r="Z9" i="4" s="1"/>
  <c r="C28" i="4"/>
  <c r="C27" i="4"/>
  <c r="C26" i="4"/>
  <c r="C25" i="4"/>
  <c r="C11" i="4"/>
  <c r="C10" i="4"/>
  <c r="C9" i="4"/>
  <c r="C7" i="4"/>
  <c r="Z6" i="4"/>
  <c r="E2" i="4"/>
  <c r="E16" i="3"/>
  <c r="H16" i="3" s="1"/>
  <c r="D16" i="3"/>
  <c r="C16" i="3"/>
  <c r="E15" i="3"/>
  <c r="H15" i="3" s="1"/>
  <c r="D15" i="3"/>
  <c r="C15" i="3"/>
  <c r="E14" i="3"/>
  <c r="H14" i="3" s="1"/>
  <c r="D14" i="3"/>
  <c r="C21" i="3" s="1"/>
  <c r="C22" i="3" s="1"/>
  <c r="C14" i="3"/>
  <c r="C20" i="3" s="1"/>
  <c r="D13" i="3"/>
  <c r="C13" i="3"/>
  <c r="D12" i="3"/>
  <c r="C12" i="3"/>
  <c r="D11" i="3"/>
  <c r="C11" i="3"/>
  <c r="D10" i="3"/>
  <c r="C10" i="3"/>
  <c r="D9" i="3"/>
  <c r="C9" i="3"/>
  <c r="D8" i="3"/>
  <c r="C8" i="3"/>
  <c r="F2" i="3"/>
  <c r="E46" i="2"/>
  <c r="E45" i="2"/>
  <c r="E44" i="2"/>
  <c r="E43" i="2"/>
  <c r="E42" i="2"/>
  <c r="E40" i="2"/>
  <c r="E39" i="2"/>
  <c r="E38" i="2"/>
  <c r="E37" i="2"/>
  <c r="C31" i="2"/>
  <c r="C18" i="2"/>
  <c r="C24" i="2" s="1"/>
  <c r="C25" i="2" s="1"/>
  <c r="Z20" i="5" l="1"/>
  <c r="Y20" i="5"/>
  <c r="E20" i="5"/>
  <c r="Z18" i="5"/>
  <c r="Y18" i="5"/>
  <c r="E18" i="5"/>
  <c r="Z17" i="5"/>
  <c r="Y17" i="5"/>
  <c r="E17" i="5"/>
  <c r="Z16" i="5"/>
  <c r="Y16" i="5"/>
  <c r="E16" i="5"/>
  <c r="Y15" i="5"/>
  <c r="Z15" i="5"/>
  <c r="E15" i="5"/>
  <c r="Z9" i="5"/>
  <c r="Y9" i="5"/>
  <c r="E9" i="5"/>
  <c r="Z8" i="5"/>
  <c r="Y8" i="5"/>
  <c r="E8" i="5"/>
  <c r="Z7" i="4"/>
  <c r="C12" i="4"/>
  <c r="H46" i="2"/>
  <c r="F46" i="2"/>
  <c r="F16" i="3" s="1"/>
  <c r="H45" i="2"/>
  <c r="F45" i="2"/>
  <c r="F15" i="3" s="1"/>
  <c r="H44" i="2"/>
  <c r="F44" i="2"/>
  <c r="F14" i="3" s="1"/>
  <c r="E13" i="3"/>
  <c r="H13" i="3" s="1"/>
  <c r="F43" i="2"/>
  <c r="F13" i="3" s="1"/>
  <c r="H43" i="2"/>
  <c r="E12" i="3"/>
  <c r="H12" i="3" s="1"/>
  <c r="F42" i="2"/>
  <c r="E11" i="3"/>
  <c r="H11" i="3" s="1"/>
  <c r="H40" i="2"/>
  <c r="F40" i="2"/>
  <c r="F11" i="3" s="1"/>
  <c r="E10" i="3"/>
  <c r="H10" i="3" s="1"/>
  <c r="H39" i="2"/>
  <c r="F39" i="2"/>
  <c r="F10" i="3" s="1"/>
  <c r="E9" i="3"/>
  <c r="H9" i="3" s="1"/>
  <c r="H38" i="2"/>
  <c r="F38" i="2"/>
  <c r="F9" i="3" s="1"/>
  <c r="E8" i="3"/>
  <c r="H8" i="3" s="1"/>
  <c r="H37" i="2"/>
  <c r="F37" i="2"/>
  <c r="AA11" i="6"/>
  <c r="C42" i="4"/>
  <c r="G16" i="3" l="1"/>
  <c r="Y16" i="3"/>
  <c r="Z16" i="3"/>
  <c r="C22" i="4"/>
  <c r="G15" i="3"/>
  <c r="Y15" i="3"/>
  <c r="Z15" i="3"/>
  <c r="C21" i="4"/>
  <c r="G14" i="3"/>
  <c r="Y14" i="3"/>
  <c r="Z14" i="3"/>
  <c r="C20" i="4"/>
  <c r="G13" i="3"/>
  <c r="Y13" i="3"/>
  <c r="Z13" i="3"/>
  <c r="C14" i="5"/>
  <c r="C19" i="4"/>
  <c r="G11" i="3"/>
  <c r="Y11" i="3"/>
  <c r="Z11" i="3"/>
  <c r="C17" i="4"/>
  <c r="G10" i="3"/>
  <c r="Y10" i="3"/>
  <c r="Z10" i="3"/>
  <c r="C16" i="4"/>
  <c r="C12" i="5"/>
  <c r="G9" i="3"/>
  <c r="Y9" i="3"/>
  <c r="Z9" i="3"/>
  <c r="C11" i="5"/>
  <c r="C15" i="4"/>
  <c r="F47" i="2"/>
  <c r="F8" i="3"/>
  <c r="F12" i="3"/>
  <c r="H42" i="2"/>
  <c r="E14" i="5" l="1"/>
  <c r="Y14" i="5"/>
  <c r="Z14" i="5"/>
  <c r="Y14" i="6"/>
  <c r="Z14" i="6"/>
  <c r="E12" i="5"/>
  <c r="Y12" i="5"/>
  <c r="Z12" i="5"/>
  <c r="Y15" i="6"/>
  <c r="Z15" i="6"/>
  <c r="E11" i="5"/>
  <c r="Y11" i="5"/>
  <c r="Z11" i="5"/>
  <c r="Y7" i="6"/>
  <c r="Z7" i="6"/>
  <c r="G8" i="3"/>
  <c r="F17" i="3"/>
  <c r="C23" i="3"/>
  <c r="C24" i="3"/>
  <c r="C25" i="3"/>
  <c r="C26" i="3"/>
  <c r="C27" i="3"/>
  <c r="C10" i="5"/>
  <c r="C14" i="4"/>
  <c r="Y8" i="3"/>
  <c r="Z8" i="3"/>
  <c r="C18" i="4"/>
  <c r="C13" i="5"/>
  <c r="Z12" i="3"/>
  <c r="Y12" i="3"/>
  <c r="G12" i="3"/>
  <c r="G17" i="3" l="1"/>
  <c r="AA9" i="6"/>
  <c r="AB9" i="6"/>
  <c r="Q13" i="7"/>
  <c r="Q14" i="7"/>
  <c r="C64" i="7"/>
  <c r="J7" i="7"/>
  <c r="E10" i="5"/>
  <c r="Y10" i="5"/>
  <c r="Z10" i="5"/>
  <c r="C21" i="5"/>
  <c r="B25" i="5"/>
  <c r="C25" i="5"/>
  <c r="D25" i="5"/>
  <c r="B26" i="5"/>
  <c r="C26" i="5"/>
  <c r="D26" i="5"/>
  <c r="B27" i="5"/>
  <c r="C27" i="5"/>
  <c r="D27" i="5"/>
  <c r="B28" i="5"/>
  <c r="B37" i="5"/>
  <c r="C37" i="5"/>
  <c r="D37" i="5"/>
  <c r="Y6" i="6"/>
  <c r="Z6" i="6"/>
  <c r="AA8" i="6"/>
  <c r="AB8" i="6"/>
  <c r="Z7" i="7"/>
  <c r="Z6" i="7"/>
  <c r="C23" i="4"/>
  <c r="Z8" i="4"/>
  <c r="E13" i="5"/>
  <c r="Y13" i="5"/>
  <c r="Z13" i="5"/>
  <c r="AA12" i="6"/>
  <c r="AB12" i="6"/>
  <c r="Y8" i="6"/>
  <c r="Z8" i="6"/>
  <c r="C66" i="7" l="1"/>
  <c r="AA6" i="6"/>
  <c r="Z13" i="6"/>
  <c r="Y13" i="6"/>
  <c r="Z12" i="6"/>
  <c r="Y12" i="6"/>
  <c r="Z11" i="6"/>
  <c r="B7" i="6"/>
  <c r="G18" i="4"/>
  <c r="L13" i="7" s="1"/>
  <c r="C40" i="5"/>
  <c r="C41" i="4"/>
  <c r="C63" i="7"/>
  <c r="G13" i="7"/>
  <c r="AB6" i="6"/>
  <c r="C28" i="5"/>
  <c r="D28" i="5"/>
  <c r="B29" i="5"/>
  <c r="C29" i="5"/>
  <c r="D29" i="5"/>
  <c r="C46" i="5"/>
  <c r="B33" i="5"/>
  <c r="C33" i="5"/>
  <c r="D33" i="5"/>
  <c r="B34" i="5"/>
  <c r="C34" i="5"/>
  <c r="D34" i="5"/>
  <c r="B35" i="5"/>
  <c r="C35" i="5"/>
  <c r="D35" i="5"/>
  <c r="B36" i="5"/>
  <c r="D36" i="5"/>
  <c r="C36" i="5"/>
  <c r="C47" i="5"/>
  <c r="C43" i="4" l="1"/>
  <c r="Z12" i="4"/>
  <c r="C16" i="6"/>
  <c r="B15" i="6"/>
  <c r="B16" i="6"/>
  <c r="C17" i="6"/>
  <c r="C18" i="6"/>
  <c r="C19" i="6"/>
  <c r="C15" i="6"/>
  <c r="B17" i="6"/>
  <c r="B18" i="6"/>
  <c r="B19" i="6"/>
  <c r="B14" i="6"/>
  <c r="C14" i="6"/>
  <c r="E12" i="4" l="1"/>
  <c r="Q18" i="7"/>
  <c r="B9" i="7"/>
  <c r="E13" i="4"/>
  <c r="B7" i="7" l="1"/>
  <c r="B10" i="6"/>
  <c r="AA7" i="6"/>
  <c r="Q19" i="7"/>
  <c r="C25" i="6" l="1"/>
  <c r="C23" i="6"/>
  <c r="B23" i="6"/>
  <c r="C24" i="6"/>
  <c r="B25" i="6"/>
  <c r="B24" i="6"/>
</calcChain>
</file>

<file path=xl/sharedStrings.xml><?xml version="1.0" encoding="utf-8"?>
<sst xmlns="http://schemas.openxmlformats.org/spreadsheetml/2006/main" count="387" uniqueCount="281">
  <si>
    <t>VERTEX STRATEGIC FINANCE</t>
  </si>
  <si>
    <t>Profit vs. Cash Diagnostic</t>
  </si>
  <si>
    <t>Understand where your profit went — and why profit doesn't always translate into cash.</t>
  </si>
  <si>
    <t>Why Profit and Cash Are Not the Same Thing</t>
  </si>
  <si>
    <t>A business can report a profit for the period while its bank balance stays flat or falls. That is normal, and it usually has an explanation.</t>
  </si>
  <si>
    <t>Cash can be absorbed by things that never appear as expenses on the income statement:</t>
  </si>
  <si>
    <t>—</t>
  </si>
  <si>
    <t>Growing accounts receivable — revenue earned but not yet collected</t>
  </si>
  <si>
    <t>Inventory purchases</t>
  </si>
  <si>
    <t>Paying down accounts payable</t>
  </si>
  <si>
    <t>Capital expenditures on equipment, vehicles or leaseholds</t>
  </si>
  <si>
    <t>Debt principal repayments</t>
  </si>
  <si>
    <t>Owner distributions and dividends</t>
  </si>
  <si>
    <t>Other balance-sheet movements</t>
  </si>
  <si>
    <t>Cash can also increase for reasons that have nothing to do with profit:</t>
  </si>
  <si>
    <t>New borrowing</t>
  </si>
  <si>
    <t>Owner contributions or new equity</t>
  </si>
  <si>
    <t>Collecting old receivables</t>
  </si>
  <si>
    <t>Reducing inventory</t>
  </si>
  <si>
    <t>Delaying supplier payments</t>
  </si>
  <si>
    <t>This workbook reconciles reported profit to the actual change in your cash balance and identifies the movements that explain the difference.</t>
  </si>
  <si>
    <t>How to Use This Tool</t>
  </si>
  <si>
    <t>1. Enter Your Financial Information</t>
  </si>
  <si>
    <t>FINANCIAL INPUTS tab</t>
  </si>
  <si>
    <t>Use your income statement and your balance sheets at the start and end of the period.</t>
  </si>
  <si>
    <t>2. Review Working Capital</t>
  </si>
  <si>
    <t>WORKING CAPITAL tab</t>
  </si>
  <si>
    <t>See whether receivables, inventory, payables and other operating balances generated or absorbed cash.</t>
  </si>
  <si>
    <t>3. Review the Profit-to-Cash Bridge</t>
  </si>
  <si>
    <t>PROFIT TO CASH BRIDGE tab</t>
  </si>
  <si>
    <t>See how profit translates into the calculated change in cash.</t>
  </si>
  <si>
    <t>4. Understand the Drivers</t>
  </si>
  <si>
    <t>CASH DRIVERS tab</t>
  </si>
  <si>
    <t>Identify the largest positive and negative contributors to the change in cash.</t>
  </si>
  <si>
    <t>5. Determine What Requires Attention</t>
  </si>
  <si>
    <t>ACTION PLAN tab</t>
  </si>
  <si>
    <t>Use the questions generated from your results to decide what is worth investigating.</t>
  </si>
  <si>
    <t>Reading the Result Fairly</t>
  </si>
  <si>
    <t>Profit measures financial performance under accrual accounting. Cash measures actual liquidity. They are related, but they are not the same thing.</t>
  </si>
  <si>
    <t>A CASH OUTFLOW IS NOT AUTOMATICALLY BAD</t>
  </si>
  <si>
    <t>A CASH INFLOW IS NOT AUTOMATICALLY GOOD</t>
  </si>
  <si>
    <t>Buying productive equipment, paying down debt, or investing in inventory to support growth all reduce cash while still being reasonable business decisions.</t>
  </si>
  <si>
    <t>Taking on additional debt or delaying supplier payments can increase cash temporarily without improving underlying profitability.</t>
  </si>
  <si>
    <t>Reading the Workbook</t>
  </si>
  <si>
    <t>Input</t>
  </si>
  <si>
    <t>Shaded cells are yours to complete. Everything else calculates automatically.</t>
  </si>
  <si>
    <t>Formula</t>
  </si>
  <si>
    <t>Unshaded cells are protected without a password — use Review › Unprotect Sheet if you need to edit them.</t>
  </si>
  <si>
    <t>Important</t>
  </si>
  <si>
    <t>This workbook is provided for general informational and planning purposes only and does not constitute accounting, tax, legal, investment, financing or financial advice. Financial statements and accounting classifications vary by business and circumstances. The results shown are calculated from the information you enter and are diagnostic only — they are not an audit, a review engagement, a compilation, or any form of assurance, and they do not confirm the accuracy of any financial statement or compliance with any tax or accounting requirement. Users should work with qualified professional advisors where appropriate.   All figures supplied with this workbook are FICTIONAL EXAMPLE DATA.</t>
  </si>
  <si>
    <t>Vertex Strategic Finance</t>
  </si>
  <si>
    <t>CPA-Led Accounting &amp; Advisory for Owner-Led Businesses</t>
  </si>
  <si>
    <t>www.vertexstrategicfinance.ca   |   info@vertexstrategicfinance.ca</t>
  </si>
  <si>
    <t>Financial Inputs</t>
  </si>
  <si>
    <t>FICTIONAL EXAMPLE DATA</t>
  </si>
  <si>
    <t>Enter your figures once here. Every other tab reads from this page — nothing else needs to be typed twice.</t>
  </si>
  <si>
    <t>SECTION A  —  BUSINESS INFORMATION</t>
  </si>
  <si>
    <t>Item</t>
  </si>
  <si>
    <t>Your Entry</t>
  </si>
  <si>
    <t>Notes</t>
  </si>
  <si>
    <t>Business Name</t>
  </si>
  <si>
    <t>Ridgeline Mechanical Ltd.</t>
  </si>
  <si>
    <t>Appears on the Executive Dashboard.</t>
  </si>
  <si>
    <t>Period Being Analyzed</t>
  </si>
  <si>
    <t>Year ended June 30, 2026</t>
  </si>
  <si>
    <t>A short label, for example Year ended June 30, 2026.</t>
  </si>
  <si>
    <t>Period Start Date</t>
  </si>
  <si>
    <t>The date of the opening balance sheet you are using.</t>
  </si>
  <si>
    <t>Period End Date</t>
  </si>
  <si>
    <t>The date of the closing balance sheet you are using.</t>
  </si>
  <si>
    <t>Number of Months in Period</t>
  </si>
  <si>
    <t>Used to express figures on a per-month basis where that is useful.</t>
  </si>
  <si>
    <t>SECTION B  —  INCOME STATEMENT FOR THE PERIOD</t>
  </si>
  <si>
    <t>Revenue</t>
  </si>
  <si>
    <t>Total revenue recognized for the period.</t>
  </si>
  <si>
    <t>Cost of Goods Sold / Direct Costs</t>
  </si>
  <si>
    <t>Direct costs of delivering the work. Enter zero if you do not track them separately.</t>
  </si>
  <si>
    <t>Gross Profit</t>
  </si>
  <si>
    <t>Revenue less direct costs. Calculated.</t>
  </si>
  <si>
    <t>Operating Expenses</t>
  </si>
  <si>
    <t>Overheads for the period, excluding depreciation, amortization, interest and income tax — those are entered on their own lines below.</t>
  </si>
  <si>
    <t>Depreciation &amp; Amortization</t>
  </si>
  <si>
    <t>Captured separately because it is normally a non-cash expense that is added back in a cash reconciliation.</t>
  </si>
  <si>
    <t>Interest Expense</t>
  </si>
  <si>
    <t>Interest only. Debt principal repayments are entered in Section E — they are not an expense.</t>
  </si>
  <si>
    <t>Income Tax Expense</t>
  </si>
  <si>
    <t>Income tax expense recorded for the period.</t>
  </si>
  <si>
    <t>Net Profit  (used in the bridge)</t>
  </si>
  <si>
    <t>Enter the net profit reported on your income statement. This is the figure the profit-to-cash bridge starts from.</t>
  </si>
  <si>
    <t>Net Profit implied by the lines above</t>
  </si>
  <si>
    <t>A check only. If this differs from the net profit you entered, the components above are grouped differently — the bridge still uses your reported net profit.</t>
  </si>
  <si>
    <t>Component Check</t>
  </si>
  <si>
    <t>Informational. A difference here is common and simply reflects how the income statement is grouped.</t>
  </si>
  <si>
    <t>SECTION C  —  CASH</t>
  </si>
  <si>
    <t>Beginning Cash Balance</t>
  </si>
  <si>
    <t>Cash and cash equivalents at the period start date.</t>
  </si>
  <si>
    <t>Ending Cash Balance</t>
  </si>
  <si>
    <t>Cash and cash equivalents at the period end date.</t>
  </si>
  <si>
    <t>Actual Change in Cash</t>
  </si>
  <si>
    <t>Ending cash less beginning cash. This is what the bridge is reconciled against.</t>
  </si>
  <si>
    <t>SECTION D  —  OPERATING BALANCE SHEET ACCOUNTS</t>
  </si>
  <si>
    <t>Enter the balance at the start and end of the period. Each account is marked as an operating asset or an operating liability so the cash impact is calculated in the right direction — change the type on any line where your business classifies it differently, such as a GST/HST balance that is receivable rather than payable.</t>
  </si>
  <si>
    <t>Account</t>
  </si>
  <si>
    <t>Beginning Balance</t>
  </si>
  <si>
    <t>Ending Balance</t>
  </si>
  <si>
    <t>Change</t>
  </si>
  <si>
    <t>Cash Impact</t>
  </si>
  <si>
    <t>Type</t>
  </si>
  <si>
    <t>What This Means</t>
  </si>
  <si>
    <t>OPERATING CURRENT ASSETS      —      an increase uses cash</t>
  </si>
  <si>
    <t>Accounts Receivable</t>
  </si>
  <si>
    <t>Operating Asset</t>
  </si>
  <si>
    <t>Inventory</t>
  </si>
  <si>
    <t>Prepaid Expenses</t>
  </si>
  <si>
    <t>Other Operating Current Assets</t>
  </si>
  <si>
    <t>OPERATING CURRENT LIABILITIES      —      an increase releases cash</t>
  </si>
  <si>
    <t>Accounts Payable</t>
  </si>
  <si>
    <t>Operating Liability</t>
  </si>
  <si>
    <t>Accrued Expenses</t>
  </si>
  <si>
    <t>Payroll Liabilities</t>
  </si>
  <si>
    <t>Sales Tax / GST/HST Balance</t>
  </si>
  <si>
    <t>Other Operating Current Liabilities</t>
  </si>
  <si>
    <t>Total Cash Impact from Operating Balance Sheet Accounts</t>
  </si>
  <si>
    <t>SECTION E  —  OTHER CASH MOVEMENTS DURING THE PERIOD</t>
  </si>
  <si>
    <t>Amount</t>
  </si>
  <si>
    <t>Capital Expenditures</t>
  </si>
  <si>
    <t>Cash spent on equipment, vehicles, leaseholds or other capital assets. These sit on the balance sheet rather than being expensed in full.</t>
  </si>
  <si>
    <t>Proceeds from Sale of Fixed Assets</t>
  </si>
  <si>
    <t>Cash received from disposing of capital assets.</t>
  </si>
  <si>
    <t>New Debt / Borrowing</t>
  </si>
  <si>
    <t>Cash received from new loans or draws. This is financing, not revenue.</t>
  </si>
  <si>
    <t>Debt Principal Repayments</t>
  </si>
  <si>
    <t>Principal only — interest is already inside net profit and is not entered again here.</t>
  </si>
  <si>
    <t>Owner Contributions / New Equity</t>
  </si>
  <si>
    <t>Cash the owner or a shareholder put into the business. This is not revenue.</t>
  </si>
  <si>
    <t>Owner Distributions / Dividends</t>
  </si>
  <si>
    <t>Cash taken out by the owner or shareholders. This reduces cash but is not an expense on the income statement.</t>
  </si>
  <si>
    <t>Business Acquisitions / Investments</t>
  </si>
  <si>
    <t>Cash used to acquire a business or make an investment.</t>
  </si>
  <si>
    <t>Proceeds from Sale of Investments / Assets</t>
  </si>
  <si>
    <t>Cash received from selling investments or other non-operating assets.</t>
  </si>
  <si>
    <t>Other Cash Inflows</t>
  </si>
  <si>
    <t>Describe:</t>
  </si>
  <si>
    <t>For example, a one-time refund or insurance recovery.</t>
  </si>
  <si>
    <t>Other Cash Outflows</t>
  </si>
  <si>
    <t>For example, a one-time settlement or deposit paid.</t>
  </si>
  <si>
    <t>SECTION F  —  OTHER NON-CASH ITEMS (OPTIONAL)</t>
  </si>
  <si>
    <t>Other Non-Cash Expenses</t>
  </si>
  <si>
    <t>Expenses inside net profit that did not use cash — for example an impairment or write-down. These are added back.</t>
  </si>
  <si>
    <t>Other Non-Cash Income</t>
  </si>
  <si>
    <t>Income inside net profit that did not bring in cash — for example an unrealized accounting gain. This is removed.</t>
  </si>
  <si>
    <t>Describe these items</t>
  </si>
  <si>
    <t>Write-down of obsolete parts inventory recorded in operating expenses.</t>
  </si>
  <si>
    <t>Vertex Strategic Finance  |  FICTIONAL EXAMPLE DATA for an illustrative owner-led Canadian business. Replace every shaded figure with your own.</t>
  </si>
  <si>
    <t>Working Capital</t>
  </si>
  <si>
    <t>How the day-to-day operating balances on your balance sheet generated or absorbed cash during the period.</t>
  </si>
  <si>
    <t>OPERATING WORKING CAPITAL — ACCOUNT BY ACCOUNT</t>
  </si>
  <si>
    <t>Working Capital Account</t>
  </si>
  <si>
    <t>Balance Change</t>
  </si>
  <si>
    <t>Classification</t>
  </si>
  <si>
    <t>TOTAL WORKING CAPITAL CASH IMPACT</t>
  </si>
  <si>
    <t>WORKING CAPITAL SUMMARY</t>
  </si>
  <si>
    <t>HOW TO READ THE SIGNS</t>
  </si>
  <si>
    <t>Beginning Operating Working Capital</t>
  </si>
  <si>
    <t>Cash Impact is shown from the point of view of your bank balance, not the balance sheet.
An operating asset that grows — receivables, inventory, prepaids — ties cash up, so it is shown as a negative cash impact even though the balance itself went up.
An operating liability that grows — payables, accruals — means you are holding on to cash for longer, so it is shown as a positive cash impact.
Neither direction is automatically good or bad. Receivables can grow because sales grew, and payables can grow because terms were renegotiated or because bills are being paid more slowly. The figures show what happened; the reasons come from the business.</t>
  </si>
  <si>
    <t>Ending Operating Working Capital</t>
  </si>
  <si>
    <t>Net Working Capital Change</t>
  </si>
  <si>
    <t>Total Cash Impact from Working Capital</t>
  </si>
  <si>
    <t>Cash Generated by Working Capital</t>
  </si>
  <si>
    <t>Cash Absorbed by Working Capital</t>
  </si>
  <si>
    <t>Largest Working Capital Source of Cash</t>
  </si>
  <si>
    <t>Largest Working Capital Use of Cash</t>
  </si>
  <si>
    <t>Vertex Strategic Finance  |  Calculated from the figures entered on the FINANCIAL INPUTS tab.  FICTIONAL EXAMPLE DATA.</t>
  </si>
  <si>
    <t>Profit to Cash Bridge</t>
  </si>
  <si>
    <t>Every line between reported profit and the change in your bank balance, in the order the cash actually moved.</t>
  </si>
  <si>
    <t>PROFIT TO CASH RECONCILIATION</t>
  </si>
  <si>
    <t>RECONCILIATION</t>
  </si>
  <si>
    <t>Net Profit</t>
  </si>
  <si>
    <t>NET PROFIT</t>
  </si>
  <si>
    <t>Reconciliation Tolerance</t>
  </si>
  <si>
    <t>Non-Cash Items</t>
  </si>
  <si>
    <t>NON-CASH ITEMS</t>
  </si>
  <si>
    <t>You set this figure. Anything within it is treated as rounding. There is no standard tolerance — it depends on the size of your business and how precisely you keep your records.</t>
  </si>
  <si>
    <t>Investing</t>
  </si>
  <si>
    <t>Financing &amp; Owner</t>
  </si>
  <si>
    <t>RECONCILIATION STATUS</t>
  </si>
  <si>
    <t>Other</t>
  </si>
  <si>
    <t>PROFIT BEFORE WORKING CAPITAL CASH EFFECTS</t>
  </si>
  <si>
    <t>Change in Cash</t>
  </si>
  <si>
    <t>WORKING CAPITAL MOVEMENTS</t>
  </si>
  <si>
    <t>OPERATING CASH CONVERSION</t>
  </si>
  <si>
    <t>Estimated Cash From Operations ÷ Net Profit</t>
  </si>
  <si>
    <t>How much of the period's reported profit came through as operating cash. It is shown as N/M — not meaningful — when net profit is zero or negative, because the ratio cannot be interpreted in those cases.
There is no universal target. A figure below 100% usually means working capital absorbed cash; a figure above 100% usually means non-cash expenses or working capital released it. Both can be entirely reasonable depending on what the business was doing.</t>
  </si>
  <si>
    <t>ESTIMATED CASH FROM OPERATIONS</t>
  </si>
  <si>
    <t>INVESTING ACTIVITY</t>
  </si>
  <si>
    <t>NET INVESTING CASH IMPACT</t>
  </si>
  <si>
    <t>FINANCING &amp; OWNER ACTIVITY</t>
  </si>
  <si>
    <t>NET FINANCING &amp; OWNER CASH IMPACT</t>
  </si>
  <si>
    <t>OTHER CASH MOVEMENTS</t>
  </si>
  <si>
    <t>NET OTHER CASH MOVEMENTS</t>
  </si>
  <si>
    <t>CALCULATED CHANGE IN CASH</t>
  </si>
  <si>
    <t>ACTUAL CHANGE IN CASH</t>
  </si>
  <si>
    <t>UNEXPLAINED DIFFERENCE</t>
  </si>
  <si>
    <t>Profit to Cash Bridge  —  how each group of movements changed cash</t>
  </si>
  <si>
    <t>Each bar is the net cash effect of that group of movements. Net Profit and Change in Cash are the two ends of the bridge; the bars between them explain the distance travelled.</t>
  </si>
  <si>
    <t>Vertex Strategic Finance  |  Reconciled based on the information entered on the FINANCIAL INPUTS tab. Diagnostic only — not an audit, review engagement, compilation or any form of assurance.  FICTIONAL EXAMPLE DATA.</t>
  </si>
  <si>
    <t>Cash Drivers</t>
  </si>
  <si>
    <t>Every line of the profit-to-cash reconciliation, grouped — what increased and what reduced calculated cash.</t>
  </si>
  <si>
    <t>CASH DRIVERS FOR THE PERIOD</t>
  </si>
  <si>
    <t>Bridge Driver</t>
  </si>
  <si>
    <t>Effect on Calculated Cash</t>
  </si>
  <si>
    <t>Profit / Operating Earnings</t>
  </si>
  <si>
    <t>Starting Point</t>
  </si>
  <si>
    <t>Non-Cash Adjustments</t>
  </si>
  <si>
    <t>Non-Cash Adjustment</t>
  </si>
  <si>
    <t>Other Operating Assets</t>
  </si>
  <si>
    <t>Other Operating Liabilities</t>
  </si>
  <si>
    <t>Asset / Investment Activity</t>
  </si>
  <si>
    <t>Debt Activity</t>
  </si>
  <si>
    <t>Financing</t>
  </si>
  <si>
    <t>Owner Contributions</t>
  </si>
  <si>
    <t>Owner Activity</t>
  </si>
  <si>
    <t>Owner Distributions</t>
  </si>
  <si>
    <t>Other Cash Movements</t>
  </si>
  <si>
    <t>TOTAL — CALCULATED CHANGE IN CASH</t>
  </si>
  <si>
    <t>These lines add up to the calculated change in cash on the PROFIT TO CASH BRIDGE tab. Only the lines classified as Working Capital, Investing, Financing, Owner Activity or Other represent movements of actual cash.</t>
  </si>
  <si>
    <t>TOP POSITIVE BRIDGE CONTRIBUTORS</t>
  </si>
  <si>
    <t>Note</t>
  </si>
  <si>
    <t>These lines increase calculated cash relative to the starting net-profit figure, largest first. Not all of them are cash inflows: the starting point and the non-cash adjustments are reconciliation items, while borrowing, asset-sale proceeds and owner contributions are real cash received. The Classification column shows which is which, and a real inflow is not automatically a sign of strength.</t>
  </si>
  <si>
    <t>TOP NEGATIVE BRIDGE CONTRIBUTORS</t>
  </si>
  <si>
    <t>These lines reduce calculated cash relative to the starting net-profit figure, largest first. Capital expenditures, debt principal repayments and owner distributions are real cash outflows that never appear as expenses on the income statement. A large figure is not automatically a problem — most of these are choices the business made. Amounts are shown as positive figures.</t>
  </si>
  <si>
    <t>CASH DRIVER SUMMARY</t>
  </si>
  <si>
    <t>READING THESE FIGURES</t>
  </si>
  <si>
    <t>Estimated Cash From Operations</t>
  </si>
  <si>
    <t>Capital Invested is capital expenditures plus any business acquisitions or investments — the cash the business put into long-term assets rather than into operations.
Net Debt Cash Movement is new borrowing less principal repaid. A positive figure means borrowing rose over the period; a negative figure means debt was paid down.
Net Owner Cash Movement is owner contributions less owner distributions. A negative figure means more cash left the business for the owner than came in.
None of these figures is ranked against a benchmark.</t>
  </si>
  <si>
    <t>Capital Invested</t>
  </si>
  <si>
    <t>Net Debt Cash Movement</t>
  </si>
  <si>
    <t>Net Owner Cash Movement</t>
  </si>
  <si>
    <t>Largest Positive Contributor</t>
  </si>
  <si>
    <t>Largest Negative Contributor</t>
  </si>
  <si>
    <t>Action Plan</t>
  </si>
  <si>
    <t>Questions generated from your own figures. This workbook identifies what is worth asking — the answers come from the business.</t>
  </si>
  <si>
    <t>THE HEADLINE</t>
  </si>
  <si>
    <t>WHAT DESERVES A CLOSER LOOK?</t>
  </si>
  <si>
    <t>These are the largest movements in your figures, ordered by size. They are questions to work through — not conclusions, and not recommendations.</t>
  </si>
  <si>
    <t>WHAT APPEARS TO BE WORKING?</t>
  </si>
  <si>
    <t>Shown only where the figures entered support them. No benchmark or rating is applied.</t>
  </si>
  <si>
    <t>OWNER NOTES</t>
  </si>
  <si>
    <t>Question</t>
  </si>
  <si>
    <t>Your Answer</t>
  </si>
  <si>
    <t>What explains the largest cash movement?</t>
  </si>
  <si>
    <t>Receivables grew with the two large contracts invoiced in the final quarter.</t>
  </si>
  <si>
    <t>Was the movement expected?</t>
  </si>
  <si>
    <t>Partly. The contract work was planned; the collection lag was not.</t>
  </si>
  <si>
    <t>Is it temporary or recurring?</t>
  </si>
  <si>
    <t>Expected to be temporary if the year-end balances are collected on terms.</t>
  </si>
  <si>
    <t>Does anything require follow-up?</t>
  </si>
  <si>
    <t>Yes — review the two largest overdue customer balances with the accountant.</t>
  </si>
  <si>
    <t>What should be monitored next period?</t>
  </si>
  <si>
    <t>Days sales outstanding, and cash from operations against owner distributions.</t>
  </si>
  <si>
    <t>Vertex Strategic Finance  |  Diagnostic questions generated from the figures entered. Nothing here is accounting, tax, legal, investment, financing or financial advice.  FICTIONAL EXAMPLE DATA.</t>
  </si>
  <si>
    <t>Where the period's profit went, and what actually moved the cash  —  FICTIONAL EXAMPLE DATA.</t>
  </si>
  <si>
    <t>WHERE THE PROFIT WENT</t>
  </si>
  <si>
    <t>Positive Contributors</t>
  </si>
  <si>
    <t>Negative Contributors</t>
  </si>
  <si>
    <t>WORKING CAPITAL CASH IMPACT</t>
  </si>
  <si>
    <t>reported for the period</t>
  </si>
  <si>
    <t>after non-cash items and working capital</t>
  </si>
  <si>
    <t>cash from operations ÷ net profit</t>
  </si>
  <si>
    <t>CAPITAL EXPENDITURES</t>
  </si>
  <si>
    <t>ENDING CASH</t>
  </si>
  <si>
    <t>cash invested in capital assets</t>
  </si>
  <si>
    <t>at the period end date</t>
  </si>
  <si>
    <t>1.  Profit to Cash Bridge  —  what moved between profit and cash</t>
  </si>
  <si>
    <t>2.  Positive vs Negative Bridge Contributors</t>
  </si>
  <si>
    <t>3.  Profit-to-Cash Drivers  —  what increased and what reduced calculated cash</t>
  </si>
  <si>
    <t>PROFIT VS. CASH PULSE</t>
  </si>
  <si>
    <t>▪</t>
  </si>
  <si>
    <t>Profit measures performance. Cash measures liquidity. This page shows the distance between them.</t>
  </si>
  <si>
    <t>Every figure and observation above is calculated from the information entered on the FINANCIAL INPUTS tab and is measured only against this business's own results — no industry benchmark is applied anywhere in this workbook. The analysis is diagnostic: it is not an audit, a review engagement, a compilation or any form of assurance, it does not confirm the accuracy of any financial statement or compliance with any tax or accounting requirement, and nothing here is accounting, tax, legal, investment, financing or financial advice. All figures shown are FICTIONAL EXAMPLE DATA.</t>
  </si>
  <si>
    <t>Vertex Strategic Finance   |   www.vertexstrategicfinance.ca   |   info@vertexstrategicfinance.ca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</si>
</sst>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 d\,\ yyyy"/>
    <numFmt numFmtId="165" formatCode="0&quot; months&quot;"/>
    <numFmt numFmtId="166" formatCode="\$#,##0;\(\$#,##0\);&quot;-&quot;"/>
    <numFmt numFmtId="167" formatCode="0.00000"/>
    <numFmt numFmtId="168" formatCode="0.0%"/>
  </numFmts>
  <fonts count="52" x14ac:knownFonts="1">
    <font>
      <sz val="11"/>
      <color theme="1"/>
      <name val="Calibri"/>
      <family val="2"/>
      <charset val="1"/>
    </font>
    <font>
      <b/>
      <sz val="9"/>
      <color rgb="FF8FB8C9"/>
      <name val="Arial"/>
      <charset val="1"/>
    </font>
    <font>
      <b/>
      <sz val="22"/>
      <color rgb="FFFFFFFF"/>
      <name val="Arial"/>
      <charset val="1"/>
    </font>
    <font>
      <sz val="11"/>
      <color rgb="FFC7D9E2"/>
      <name val="Arial"/>
      <charset val="1"/>
    </font>
    <font>
      <b/>
      <sz val="12"/>
      <color rgb="FF083152"/>
      <name val="Arial"/>
      <charset val="1"/>
    </font>
    <font>
      <sz val="10.5"/>
      <color rgb="FF1A1A1A"/>
      <name val="Arial"/>
      <charset val="1"/>
    </font>
    <font>
      <b/>
      <sz val="10.5"/>
      <color rgb="FF083152"/>
      <name val="Arial"/>
      <charset val="1"/>
    </font>
    <font>
      <sz val="10.5"/>
      <color rgb="FF23727C"/>
      <name val="Arial"/>
      <charset val="1"/>
    </font>
    <font>
      <i/>
      <sz val="9"/>
      <color rgb="FF23727C"/>
      <name val="Arial"/>
      <charset val="1"/>
    </font>
    <font>
      <sz val="10"/>
      <color rgb="FF6B7A85"/>
      <name val="Arial"/>
      <charset val="1"/>
    </font>
    <font>
      <b/>
      <sz val="8.5"/>
      <color rgb="FF23727C"/>
      <name val="Arial"/>
      <charset val="1"/>
    </font>
    <font>
      <sz val="10"/>
      <color rgb="FF1A1A1A"/>
      <name val="Arial"/>
      <charset val="1"/>
    </font>
    <font>
      <sz val="10"/>
      <color rgb="FF0B4A63"/>
      <name val="Arial"/>
      <charset val="1"/>
    </font>
    <font>
      <b/>
      <sz val="10"/>
      <color rgb="FF083152"/>
      <name val="Arial"/>
      <charset val="1"/>
    </font>
    <font>
      <b/>
      <sz val="9"/>
      <color rgb="FF6B7A85"/>
      <name val="Arial"/>
      <charset val="1"/>
    </font>
    <font>
      <sz val="9"/>
      <color rgb="FF6B7A85"/>
      <name val="Arial"/>
      <charset val="1"/>
    </font>
    <font>
      <b/>
      <sz val="12"/>
      <color rgb="FFFFFFFF"/>
      <name val="Arial"/>
      <charset val="1"/>
    </font>
    <font>
      <sz val="9.5"/>
      <color rgb="FFC7D9E2"/>
      <name val="Arial"/>
      <charset val="1"/>
    </font>
    <font>
      <sz val="9"/>
      <color rgb="FF9FBECF"/>
      <name val="Arial"/>
      <charset val="1"/>
    </font>
    <font>
      <b/>
      <sz val="8.5"/>
      <color rgb="FF8FB8C9"/>
      <name val="Arial"/>
      <charset val="1"/>
    </font>
    <font>
      <b/>
      <sz val="20"/>
      <color rgb="FFFFFFFF"/>
      <name val="Arial"/>
      <charset val="1"/>
    </font>
    <font>
      <i/>
      <sz val="9"/>
      <color rgb="FF9FBECF"/>
      <name val="Arial"/>
      <charset val="1"/>
    </font>
    <font>
      <b/>
      <sz val="10.5"/>
      <color rgb="FFFFFFFF"/>
      <name val="Arial"/>
      <charset val="1"/>
    </font>
    <font>
      <b/>
      <sz val="9"/>
      <color rgb="FF083152"/>
      <name val="Arial"/>
      <charset val="1"/>
    </font>
    <font>
      <sz val="10.5"/>
      <color rgb="FF083152"/>
      <name val="Arial"/>
      <charset val="1"/>
    </font>
    <font>
      <b/>
      <sz val="10.5"/>
      <color rgb="FF23727C"/>
      <name val="Arial"/>
      <charset val="1"/>
    </font>
    <font>
      <b/>
      <sz val="11"/>
      <color rgb="FF083152"/>
      <name val="Arial"/>
      <charset val="1"/>
    </font>
    <font>
      <b/>
      <sz val="9.5"/>
      <color rgb="FFFFFFFF"/>
      <name val="Arial"/>
      <charset val="1"/>
    </font>
    <font>
      <sz val="10"/>
      <color rgb="FF083152"/>
      <name val="Arial"/>
      <charset val="1"/>
    </font>
    <font>
      <sz val="9.5"/>
      <color rgb="FF0B4A63"/>
      <name val="Arial"/>
      <charset val="1"/>
    </font>
    <font>
      <i/>
      <sz val="8.5"/>
      <color rgb="FF6B7A85"/>
      <name val="Arial"/>
      <charset val="1"/>
    </font>
    <font>
      <b/>
      <sz val="10"/>
      <color rgb="FFFFFFFF"/>
      <name val="Arial"/>
      <charset val="1"/>
    </font>
    <font>
      <b/>
      <sz val="9.5"/>
      <color rgb="FF083152"/>
      <name val="Arial"/>
      <charset val="1"/>
    </font>
    <font>
      <sz val="9"/>
      <color rgb="FF1A1A1A"/>
      <name val="Arial"/>
      <charset val="1"/>
    </font>
    <font>
      <sz val="8"/>
      <color rgb="FFFFFFFF"/>
      <name val="Arial"/>
      <charset val="1"/>
    </font>
    <font>
      <b/>
      <sz val="9.5"/>
      <color rgb="FF23727C"/>
      <name val="Arial"/>
      <charset val="1"/>
    </font>
    <font>
      <b/>
      <sz val="8.5"/>
      <color rgb="FF6B7A85"/>
      <name val="Arial"/>
      <charset val="1"/>
    </font>
    <font>
      <b/>
      <sz val="16"/>
      <color rgb="FF083152"/>
      <name val="Arial"/>
      <charset val="1"/>
    </font>
    <font>
      <sz val="9.5"/>
      <color rgb="FF1A1A1A"/>
      <name val="Arial"/>
      <charset val="1"/>
    </font>
    <font>
      <b/>
      <sz val="12"/>
      <color rgb="FF8A5A3C"/>
      <name val="Arial"/>
      <charset val="1"/>
    </font>
    <font>
      <sz val="9.5"/>
      <color rgb="FF23727C"/>
      <name val="Arial"/>
      <charset val="1"/>
    </font>
    <font>
      <b/>
      <sz val="10"/>
      <color rgb="FF23727C"/>
      <name val="Arial"/>
      <charset val="1"/>
    </font>
    <font>
      <i/>
      <sz val="9"/>
      <color rgb="FF6B7A85"/>
      <name val="Arial"/>
      <charset val="1"/>
    </font>
    <font>
      <sz val="10"/>
      <color rgb="FF23727C"/>
      <name val="Arial"/>
      <charset val="1"/>
    </font>
    <font>
      <sz val="10"/>
      <color rgb="FF9FBECF"/>
      <name val="Arial"/>
      <charset val="1"/>
    </font>
    <font>
      <i/>
      <sz val="8.5"/>
      <color rgb="FF7FA3B5"/>
      <name val="Arial"/>
      <charset val="1"/>
    </font>
    <font>
      <b/>
      <sz val="8"/>
      <color rgb="FF6B7A85"/>
      <name val="Arial"/>
      <charset val="1"/>
    </font>
    <font>
      <b/>
      <sz val="15"/>
      <color rgb="FF083152"/>
      <name val="Arial"/>
      <charset val="1"/>
    </font>
    <font>
      <sz val="8.5"/>
      <color rgb="FF6B7A85"/>
      <name val="Arial"/>
      <charset val="1"/>
    </font>
    <font>
      <b/>
      <sz val="7.5"/>
      <color rgb="FF6B7A85"/>
      <name val="Arial"/>
      <charset val="1"/>
    </font>
    <font>
      <sz val="7.5"/>
      <color rgb="FF6B7A85"/>
      <name val="Arial"/>
      <charset val="1"/>
    </font>
    <font>
      <sz val="9"/>
      <color rgb="FF23727C"/>
      <name val="Arial"/>
      <charset val="1"/>
    </font>
  </fonts>
  <fills count="7">
    <fill>
      <patternFill patternType="none"/>
    </fill>
    <fill>
      <patternFill patternType="gray125"/>
    </fill>
    <fill>
      <patternFill patternType="solid">
        <fgColor rgb="FF083152"/>
        <bgColor rgb="FF0B4A63"/>
      </patternFill>
    </fill>
    <fill>
      <patternFill patternType="solid">
        <fgColor rgb="FFF4F6F8"/>
        <bgColor rgb="FFEDF4F5"/>
      </patternFill>
    </fill>
    <fill>
      <patternFill patternType="solid">
        <fgColor rgb="FFEDF4F5"/>
        <bgColor rgb="FFF4F6F8"/>
      </patternFill>
    </fill>
    <fill>
      <patternFill patternType="solid">
        <fgColor rgb="FF23727C"/>
        <bgColor rgb="FF008080"/>
      </patternFill>
    </fill>
    <fill>
      <patternFill patternType="solid">
        <fgColor rgb="FFC7D9E2"/>
        <bgColor rgb="FFD6DDE2"/>
      </patternFill>
    </fill>
  </fills>
  <borders count="19">
    <border>
      <left/>
      <right/>
      <top/>
      <bottom/>
      <diagonal/>
    </border>
    <border>
      <left/>
      <right/>
      <top/>
      <bottom style="medium">
        <color rgb="FF23727C"/>
      </bottom>
      <diagonal/>
    </border>
    <border>
      <left style="thin">
        <color rgb="FFD6DDE2"/>
      </left>
      <right style="thin">
        <color rgb="FFD6DDE2"/>
      </right>
      <top style="thin">
        <color rgb="FFD6DDE2"/>
      </top>
      <bottom/>
      <diagonal/>
    </border>
    <border>
      <left style="thin">
        <color rgb="FFD6DDE2"/>
      </left>
      <right style="thin">
        <color rgb="FFD6DDE2"/>
      </right>
      <top/>
      <bottom style="thin">
        <color rgb="FFD6DDE2"/>
      </bottom>
      <diagonal/>
    </border>
    <border>
      <left style="thin">
        <color rgb="FF23727C"/>
      </left>
      <right style="thin">
        <color rgb="FF23727C"/>
      </right>
      <top style="thin">
        <color rgb="FF23727C"/>
      </top>
      <bottom style="thin">
        <color rgb="FF23727C"/>
      </bottom>
      <diagonal/>
    </border>
    <border>
      <left/>
      <right/>
      <top/>
      <bottom style="thin">
        <color rgb="FF083152"/>
      </bottom>
      <diagonal/>
    </border>
    <border>
      <left/>
      <right/>
      <top/>
      <bottom style="thin">
        <color rgb="FFD6DDE2"/>
      </bottom>
      <diagonal/>
    </border>
    <border>
      <left style="thin">
        <color rgb="FFD6DDE2"/>
      </left>
      <right/>
      <top style="thin">
        <color rgb="FFD6DDE2"/>
      </top>
      <bottom style="thin">
        <color rgb="FFD6DDE2"/>
      </bottom>
      <diagonal/>
    </border>
    <border>
      <left/>
      <right/>
      <top style="thin">
        <color rgb="FFD6DDE2"/>
      </top>
      <bottom style="thin">
        <color rgb="FFD6DDE2"/>
      </bottom>
      <diagonal/>
    </border>
    <border>
      <left/>
      <right style="thin">
        <color rgb="FFD6DDE2"/>
      </right>
      <top style="thin">
        <color rgb="FFD6DDE2"/>
      </top>
      <bottom style="thin">
        <color rgb="FFD6DDE2"/>
      </bottom>
      <diagonal/>
    </border>
    <border>
      <left style="thin">
        <color rgb="FFD6DDE2"/>
      </left>
      <right style="thin">
        <color rgb="FFD6DDE2"/>
      </right>
      <top style="thin">
        <color rgb="FFD6DDE2"/>
      </top>
      <bottom style="thin">
        <color rgb="FFD6DDE2"/>
      </bottom>
      <diagonal/>
    </border>
    <border>
      <left style="thin">
        <color rgb="FFD6DDE2"/>
      </left>
      <right style="thin">
        <color rgb="FFD6DDE2"/>
      </right>
      <top/>
      <bottom/>
      <diagonal/>
    </border>
    <border>
      <left style="thin">
        <color rgb="FFD6DDE2"/>
      </left>
      <right/>
      <top style="thin">
        <color rgb="FFD6DDE2"/>
      </top>
      <bottom/>
      <diagonal/>
    </border>
    <border>
      <left/>
      <right style="thin">
        <color rgb="FFD6DDE2"/>
      </right>
      <top style="thin">
        <color rgb="FFD6DDE2"/>
      </top>
      <bottom/>
      <diagonal/>
    </border>
    <border>
      <left style="thin">
        <color rgb="FFD6DDE2"/>
      </left>
      <right/>
      <top/>
      <bottom/>
      <diagonal/>
    </border>
    <border>
      <left/>
      <right style="thin">
        <color rgb="FFD6DDE2"/>
      </right>
      <top/>
      <bottom/>
      <diagonal/>
    </border>
    <border>
      <left style="thin">
        <color rgb="FFD6DDE2"/>
      </left>
      <right/>
      <top/>
      <bottom style="thin">
        <color rgb="FFD6DDE2"/>
      </bottom>
      <diagonal/>
    </border>
    <border>
      <left/>
      <right style="thin">
        <color rgb="FFD6DDE2"/>
      </right>
      <top/>
      <bottom style="thin">
        <color rgb="FFD6DDE2"/>
      </bottom>
      <diagonal/>
    </border>
    <border>
      <left/>
      <right/>
      <top style="thin">
        <color rgb="FFD6DDE2"/>
      </top>
      <bottom/>
      <diagonal/>
    </border>
  </borders>
  <cellStyleXfs count="1">
    <xf numFmtId="0" fontId="0" fillId="0" borderId="0"/>
  </cellStyleXfs>
  <cellXfs count="146">
    <xf numFmtId="0" fontId="0" fillId="0" borderId="0" xfId="0"/>
    <xf numFmtId="0" fontId="11" fillId="0" borderId="0" xfId="0" applyFont="1" applyAlignment="1">
      <alignment horizontal="left" vertical="center" wrapText="1" indent="1"/>
    </xf>
    <xf numFmtId="0" fontId="12" fillId="4" borderId="4" xfId="0" applyFont="1" applyFill="1" applyBorder="1" applyAlignment="1" applyProtection="1">
      <alignment horizontal="center" vertical="center"/>
      <protection locked="0"/>
    </xf>
    <xf numFmtId="0" fontId="11" fillId="3" borderId="3" xfId="0" applyFont="1" applyFill="1" applyBorder="1" applyAlignment="1">
      <alignment horizontal="left" vertical="top" wrapText="1" indent="1"/>
    </xf>
    <xf numFmtId="0" fontId="10" fillId="3" borderId="2" xfId="0" applyFont="1" applyFill="1" applyBorder="1" applyAlignment="1">
      <alignment horizontal="left" vertical="center" indent="1"/>
    </xf>
    <xf numFmtId="0" fontId="9" fillId="0" borderId="0" xfId="0" applyFont="1" applyAlignment="1">
      <alignment horizontal="left" vertical="center"/>
    </xf>
    <xf numFmtId="0" fontId="8" fillId="0" borderId="0" xfId="0" applyFont="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4" fillId="0" borderId="1" xfId="0" applyFont="1" applyBorder="1" applyAlignment="1">
      <alignment horizontal="left"/>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left"/>
    </xf>
    <xf numFmtId="0" fontId="0" fillId="2" borderId="0" xfId="0" applyFill="1"/>
    <xf numFmtId="0" fontId="7" fillId="0" borderId="0" xfId="0" applyFont="1" applyAlignment="1">
      <alignment horizontal="right" vertical="center"/>
    </xf>
    <xf numFmtId="0" fontId="21" fillId="2" borderId="0" xfId="0" applyFont="1" applyFill="1" applyAlignment="1">
      <alignment horizontal="right" vertical="center"/>
    </xf>
    <xf numFmtId="0" fontId="23" fillId="0" borderId="5" xfId="0" applyFont="1" applyBorder="1" applyAlignment="1">
      <alignment horizontal="left" vertical="center" indent="1"/>
    </xf>
    <xf numFmtId="0" fontId="23" fillId="0" borderId="5" xfId="0" applyFont="1" applyBorder="1" applyAlignment="1">
      <alignment horizontal="right" vertical="center"/>
    </xf>
    <xf numFmtId="0" fontId="0" fillId="0" borderId="5" xfId="0" applyBorder="1"/>
    <xf numFmtId="0" fontId="5" fillId="0" borderId="0" xfId="0" applyFont="1" applyAlignment="1">
      <alignment horizontal="left" vertical="center" indent="1"/>
    </xf>
    <xf numFmtId="0" fontId="12" fillId="4" borderId="4" xfId="0" applyFont="1" applyFill="1" applyBorder="1" applyAlignment="1" applyProtection="1">
      <alignment horizontal="left" vertical="center"/>
      <protection locked="0"/>
    </xf>
    <xf numFmtId="164" fontId="12" fillId="4" borderId="4" xfId="0" applyNumberFormat="1" applyFont="1" applyFill="1" applyBorder="1" applyAlignment="1" applyProtection="1">
      <alignment horizontal="right" vertical="center"/>
      <protection locked="0"/>
    </xf>
    <xf numFmtId="165" fontId="12" fillId="4" borderId="4" xfId="0" applyNumberFormat="1" applyFont="1" applyFill="1" applyBorder="1" applyAlignment="1" applyProtection="1">
      <alignment horizontal="right" vertical="center"/>
      <protection locked="0"/>
    </xf>
    <xf numFmtId="166" fontId="12" fillId="4" borderId="4" xfId="0" applyNumberFormat="1" applyFont="1" applyFill="1" applyBorder="1" applyAlignment="1" applyProtection="1">
      <alignment horizontal="right" vertical="center"/>
      <protection locked="0"/>
    </xf>
    <xf numFmtId="0" fontId="5" fillId="3" borderId="0" xfId="0" applyFont="1" applyFill="1" applyAlignment="1">
      <alignment horizontal="left" vertical="center" indent="1"/>
    </xf>
    <xf numFmtId="166" fontId="24" fillId="3" borderId="0" xfId="0" applyNumberFormat="1" applyFont="1" applyFill="1" applyAlignment="1">
      <alignment horizontal="right" vertical="center"/>
    </xf>
    <xf numFmtId="0" fontId="6" fillId="3" borderId="0" xfId="0" applyFont="1" applyFill="1" applyAlignment="1">
      <alignment horizontal="left" vertical="center" indent="1"/>
    </xf>
    <xf numFmtId="0" fontId="25" fillId="3" borderId="0" xfId="0" applyFont="1" applyFill="1" applyAlignment="1">
      <alignment horizontal="right" vertical="center"/>
    </xf>
    <xf numFmtId="166" fontId="26" fillId="3" borderId="0" xfId="0" applyNumberFormat="1" applyFont="1" applyFill="1" applyAlignment="1">
      <alignment horizontal="right" vertical="center"/>
    </xf>
    <xf numFmtId="0" fontId="23" fillId="0" borderId="5" xfId="0" applyFont="1" applyBorder="1" applyAlignment="1">
      <alignment horizontal="left" vertical="center" wrapText="1" indent="1"/>
    </xf>
    <xf numFmtId="0" fontId="23" fillId="0" borderId="5" xfId="0" applyFont="1" applyBorder="1" applyAlignment="1">
      <alignment horizontal="right" vertical="center" wrapText="1"/>
    </xf>
    <xf numFmtId="0" fontId="23" fillId="0" borderId="5" xfId="0" applyFont="1" applyBorder="1" applyAlignment="1">
      <alignment horizontal="center" vertical="center" wrapText="1"/>
    </xf>
    <xf numFmtId="0" fontId="11" fillId="0" borderId="6" xfId="0" applyFont="1" applyBorder="1" applyAlignment="1">
      <alignment horizontal="left" vertical="center" indent="1"/>
    </xf>
    <xf numFmtId="166" fontId="12" fillId="4" borderId="6" xfId="0" applyNumberFormat="1" applyFont="1" applyFill="1" applyBorder="1" applyAlignment="1" applyProtection="1">
      <alignment horizontal="right" vertical="center"/>
      <protection locked="0"/>
    </xf>
    <xf numFmtId="166" fontId="28" fillId="0" borderId="6" xfId="0" applyNumberFormat="1" applyFont="1" applyBorder="1" applyAlignment="1">
      <alignment horizontal="right" vertical="center"/>
    </xf>
    <xf numFmtId="166" fontId="13" fillId="3" borderId="6" xfId="0" applyNumberFormat="1" applyFont="1" applyFill="1" applyBorder="1" applyAlignment="1">
      <alignment horizontal="right" vertical="center"/>
    </xf>
    <xf numFmtId="0" fontId="29" fillId="4" borderId="6" xfId="0" applyFont="1" applyFill="1" applyBorder="1" applyAlignment="1" applyProtection="1">
      <alignment horizontal="center" vertical="center"/>
      <protection locked="0"/>
    </xf>
    <xf numFmtId="0" fontId="15" fillId="0" borderId="6" xfId="0" applyFont="1" applyBorder="1" applyAlignment="1">
      <alignment horizontal="left" vertical="center" wrapText="1" indent="1"/>
    </xf>
    <xf numFmtId="0" fontId="6" fillId="3" borderId="7" xfId="0" applyFont="1" applyFill="1" applyBorder="1" applyAlignment="1">
      <alignment horizontal="left" vertical="center" indent="1"/>
    </xf>
    <xf numFmtId="0" fontId="0" fillId="3" borderId="8" xfId="0" applyFill="1" applyBorder="1"/>
    <xf numFmtId="166" fontId="26" fillId="3" borderId="8" xfId="0" applyNumberFormat="1" applyFont="1" applyFill="1" applyBorder="1" applyAlignment="1">
      <alignment horizontal="right" vertical="center"/>
    </xf>
    <xf numFmtId="0" fontId="0" fillId="3" borderId="9" xfId="0" applyFill="1" applyBorder="1"/>
    <xf numFmtId="0" fontId="15" fillId="0" borderId="0" xfId="0" applyFont="1" applyAlignment="1">
      <alignment horizontal="right" vertical="center"/>
    </xf>
    <xf numFmtId="0" fontId="32" fillId="0" borderId="6" xfId="0" applyFont="1" applyBorder="1" applyAlignment="1">
      <alignment horizontal="center" vertical="center"/>
    </xf>
    <xf numFmtId="0" fontId="33" fillId="0" borderId="6" xfId="0" applyFont="1" applyBorder="1" applyAlignment="1">
      <alignment horizontal="left" vertical="center" wrapText="1" indent="1"/>
    </xf>
    <xf numFmtId="167" fontId="34" fillId="0" borderId="0" xfId="0" applyNumberFormat="1" applyFont="1"/>
    <xf numFmtId="0" fontId="26" fillId="3" borderId="7" xfId="0" applyFont="1" applyFill="1" applyBorder="1" applyAlignment="1">
      <alignment horizontal="left" vertical="center" indent="1"/>
    </xf>
    <xf numFmtId="0" fontId="5" fillId="0" borderId="6" xfId="0" applyFont="1" applyBorder="1" applyAlignment="1">
      <alignment horizontal="left" vertical="center" indent="1"/>
    </xf>
    <xf numFmtId="166" fontId="6" fillId="0" borderId="6" xfId="0" applyNumberFormat="1" applyFont="1" applyBorder="1" applyAlignment="1">
      <alignment horizontal="right" vertical="center"/>
    </xf>
    <xf numFmtId="0" fontId="6" fillId="3" borderId="6" xfId="0" applyFont="1" applyFill="1" applyBorder="1" applyAlignment="1">
      <alignment horizontal="left" vertical="center" indent="1"/>
    </xf>
    <xf numFmtId="166" fontId="26" fillId="3" borderId="6" xfId="0" applyNumberFormat="1" applyFont="1" applyFill="1" applyBorder="1" applyAlignment="1">
      <alignment horizontal="right" vertical="center"/>
    </xf>
    <xf numFmtId="0" fontId="34" fillId="0" borderId="0" xfId="0" applyFont="1"/>
    <xf numFmtId="166" fontId="34" fillId="0" borderId="0" xfId="0" applyNumberFormat="1" applyFont="1"/>
    <xf numFmtId="166" fontId="26" fillId="3" borderId="9" xfId="0" applyNumberFormat="1" applyFont="1" applyFill="1" applyBorder="1" applyAlignment="1">
      <alignment horizontal="right" vertical="center"/>
    </xf>
    <xf numFmtId="0" fontId="11" fillId="0" borderId="6" xfId="0" applyFont="1" applyBorder="1" applyAlignment="1">
      <alignment horizontal="left" vertical="center" indent="2"/>
    </xf>
    <xf numFmtId="0" fontId="26" fillId="6" borderId="7" xfId="0" applyFont="1" applyFill="1" applyBorder="1" applyAlignment="1">
      <alignment horizontal="left" vertical="center" indent="1"/>
    </xf>
    <xf numFmtId="166" fontId="4" fillId="6" borderId="9" xfId="0" applyNumberFormat="1" applyFont="1" applyFill="1" applyBorder="1" applyAlignment="1">
      <alignment horizontal="right" vertical="center"/>
    </xf>
    <xf numFmtId="166" fontId="39" fillId="6" borderId="9" xfId="0" applyNumberFormat="1" applyFont="1" applyFill="1" applyBorder="1" applyAlignment="1">
      <alignment horizontal="right" vertical="center"/>
    </xf>
    <xf numFmtId="166" fontId="6" fillId="3" borderId="6" xfId="0" applyNumberFormat="1" applyFont="1" applyFill="1" applyBorder="1" applyAlignment="1">
      <alignment horizontal="right" vertical="center"/>
    </xf>
    <xf numFmtId="0" fontId="40" fillId="0" borderId="6" xfId="0" applyFont="1" applyBorder="1" applyAlignment="1">
      <alignment horizontal="center" vertical="center"/>
    </xf>
    <xf numFmtId="166" fontId="4" fillId="6" borderId="8" xfId="0" applyNumberFormat="1" applyFont="1" applyFill="1" applyBorder="1" applyAlignment="1">
      <alignment horizontal="right" vertical="center"/>
    </xf>
    <xf numFmtId="0" fontId="23" fillId="0" borderId="5" xfId="0" applyFont="1" applyBorder="1" applyAlignment="1">
      <alignment horizontal="center" vertical="center"/>
    </xf>
    <xf numFmtId="1" fontId="34" fillId="0" borderId="0" xfId="0" applyNumberFormat="1" applyFont="1"/>
    <xf numFmtId="0" fontId="41" fillId="3" borderId="12" xfId="0" applyFont="1" applyFill="1" applyBorder="1" applyAlignment="1">
      <alignment horizontal="right" vertical="top"/>
    </xf>
    <xf numFmtId="0" fontId="41" fillId="0" borderId="14" xfId="0" applyFont="1" applyBorder="1" applyAlignment="1">
      <alignment horizontal="right" vertical="top"/>
    </xf>
    <xf numFmtId="0" fontId="41" fillId="3" borderId="14" xfId="0" applyFont="1" applyFill="1" applyBorder="1" applyAlignment="1">
      <alignment horizontal="right" vertical="top"/>
    </xf>
    <xf numFmtId="0" fontId="41" fillId="0" borderId="16" xfId="0" applyFont="1" applyBorder="1" applyAlignment="1">
      <alignment horizontal="right" vertical="top"/>
    </xf>
    <xf numFmtId="0" fontId="43" fillId="0" borderId="12" xfId="0" applyFont="1" applyBorder="1" applyAlignment="1">
      <alignment horizontal="right" vertical="center"/>
    </xf>
    <xf numFmtId="0" fontId="43" fillId="0" borderId="14" xfId="0" applyFont="1" applyBorder="1" applyAlignment="1">
      <alignment horizontal="right" vertical="center"/>
    </xf>
    <xf numFmtId="0" fontId="43" fillId="0" borderId="16" xfId="0" applyFont="1" applyBorder="1" applyAlignment="1">
      <alignment horizontal="right" vertical="center"/>
    </xf>
    <xf numFmtId="0" fontId="13" fillId="0" borderId="0" xfId="0" applyFont="1" applyAlignment="1">
      <alignment horizontal="left" vertical="center" wrapText="1" indent="1"/>
    </xf>
    <xf numFmtId="0" fontId="29" fillId="4" borderId="4" xfId="0" applyFont="1" applyFill="1" applyBorder="1" applyAlignment="1" applyProtection="1">
      <alignment horizontal="left" vertical="center" wrapText="1" indent="1"/>
      <protection locked="0"/>
    </xf>
    <xf numFmtId="0" fontId="0" fillId="3" borderId="14" xfId="0" applyFill="1" applyBorder="1"/>
    <xf numFmtId="0" fontId="0" fillId="3" borderId="0" xfId="0" applyFill="1"/>
    <xf numFmtId="0" fontId="0" fillId="3" borderId="15" xfId="0" applyFill="1" applyBorder="1"/>
    <xf numFmtId="0" fontId="51" fillId="3" borderId="14" xfId="0" applyFont="1" applyFill="1" applyBorder="1" applyAlignment="1">
      <alignment horizontal="right" vertical="center"/>
    </xf>
    <xf numFmtId="0" fontId="51" fillId="0" borderId="14" xfId="0" applyFont="1" applyBorder="1" applyAlignment="1">
      <alignment horizontal="right" vertical="center"/>
    </xf>
    <xf numFmtId="0" fontId="51" fillId="0" borderId="16" xfId="0" applyFont="1" applyBorder="1" applyAlignment="1">
      <alignment horizontal="right" vertical="center"/>
    </xf>
    <xf numFmtId="0" fontId="13" fillId="0" borderId="0" xfId="0" applyFont="1" applyAlignment="1">
      <alignment horizontal="center" vertical="center"/>
    </xf>
    <xf numFmtId="0" fontId="14" fillId="3" borderId="2" xfId="0" applyFont="1" applyFill="1" applyBorder="1" applyAlignment="1">
      <alignment horizontal="left" vertical="center" indent="1"/>
    </xf>
    <xf numFmtId="0" fontId="15" fillId="3" borderId="3" xfId="0" applyFont="1" applyFill="1" applyBorder="1" applyAlignment="1">
      <alignment horizontal="left" vertical="top" wrapText="1" indent="1"/>
    </xf>
    <xf numFmtId="0" fontId="16" fillId="2" borderId="0" xfId="0" applyFont="1" applyFill="1" applyAlignment="1">
      <alignment horizontal="center" vertical="center" wrapText="1"/>
    </xf>
    <xf numFmtId="0" fontId="17" fillId="2" borderId="0" xfId="0" applyFont="1" applyFill="1" applyAlignment="1">
      <alignment horizontal="center" vertical="center" wrapText="1"/>
    </xf>
    <xf numFmtId="0" fontId="18" fillId="2" borderId="0" xfId="0" applyFont="1" applyFill="1" applyAlignment="1">
      <alignment horizontal="center" vertical="center" wrapText="1"/>
    </xf>
    <xf numFmtId="0" fontId="19" fillId="2" borderId="0" xfId="0" applyFont="1" applyFill="1" applyAlignment="1">
      <alignment horizontal="left"/>
    </xf>
    <xf numFmtId="0" fontId="20" fillId="2" borderId="0" xfId="0" applyFont="1" applyFill="1" applyAlignment="1">
      <alignment horizontal="left" vertical="center"/>
    </xf>
    <xf numFmtId="0" fontId="21" fillId="2" borderId="0" xfId="0" applyFont="1" applyFill="1" applyAlignment="1">
      <alignment horizontal="right" vertical="center"/>
    </xf>
    <xf numFmtId="0" fontId="17" fillId="2" borderId="0" xfId="0" applyFont="1" applyFill="1" applyAlignment="1">
      <alignment horizontal="left" vertical="center"/>
    </xf>
    <xf numFmtId="0" fontId="22" fillId="5" borderId="0" xfId="0" applyFont="1" applyFill="1" applyAlignment="1">
      <alignment horizontal="left" vertical="center" indent="1"/>
    </xf>
    <xf numFmtId="0" fontId="15" fillId="0" borderId="0" xfId="0" applyFont="1" applyAlignment="1">
      <alignment horizontal="left" vertical="center" wrapText="1" indent="1"/>
    </xf>
    <xf numFmtId="0" fontId="15" fillId="0" borderId="0" xfId="0" applyFont="1" applyAlignment="1">
      <alignment horizontal="left" vertical="center" wrapText="1"/>
    </xf>
    <xf numFmtId="0" fontId="27" fillId="5" borderId="0" xfId="0" applyFont="1" applyFill="1" applyAlignment="1">
      <alignment horizontal="left" vertical="center" indent="1"/>
    </xf>
    <xf numFmtId="0" fontId="29" fillId="4" borderId="4" xfId="0" applyFont="1" applyFill="1" applyBorder="1" applyAlignment="1" applyProtection="1">
      <alignment horizontal="left" vertical="center" indent="1"/>
      <protection locked="0"/>
    </xf>
    <xf numFmtId="0" fontId="30" fillId="0" borderId="0" xfId="0" applyFont="1" applyAlignment="1">
      <alignment horizontal="left" vertical="center" indent="1"/>
    </xf>
    <xf numFmtId="0" fontId="31" fillId="2" borderId="0" xfId="0" applyFont="1" applyFill="1" applyAlignment="1">
      <alignment horizontal="left" vertical="center" indent="1"/>
    </xf>
    <xf numFmtId="0" fontId="35" fillId="3" borderId="9" xfId="0" applyFont="1" applyFill="1" applyBorder="1" applyAlignment="1">
      <alignment horizontal="left" vertical="center" indent="1"/>
    </xf>
    <xf numFmtId="0" fontId="31" fillId="5" borderId="0" xfId="0" applyFont="1" applyFill="1" applyAlignment="1">
      <alignment horizontal="left" vertical="center" indent="1"/>
    </xf>
    <xf numFmtId="0" fontId="0" fillId="0" borderId="6" xfId="0" applyBorder="1"/>
    <xf numFmtId="0" fontId="15" fillId="0" borderId="10" xfId="0" applyFont="1" applyBorder="1" applyAlignment="1">
      <alignment horizontal="left" vertical="top" wrapText="1" indent="1"/>
    </xf>
    <xf numFmtId="0" fontId="0" fillId="3" borderId="6" xfId="0" applyFill="1" applyBorder="1"/>
    <xf numFmtId="0" fontId="6" fillId="0" borderId="6" xfId="0" applyFont="1" applyBorder="1" applyAlignment="1">
      <alignment horizontal="right" vertical="center"/>
    </xf>
    <xf numFmtId="0" fontId="5" fillId="0" borderId="0" xfId="0" applyFont="1" applyAlignment="1">
      <alignment horizontal="left" vertical="center" indent="1"/>
    </xf>
    <xf numFmtId="166" fontId="12" fillId="4" borderId="4" xfId="0" applyNumberFormat="1" applyFont="1" applyFill="1" applyBorder="1" applyAlignment="1" applyProtection="1">
      <alignment horizontal="right" vertical="center"/>
      <protection locked="0"/>
    </xf>
    <xf numFmtId="0" fontId="15" fillId="0" borderId="0" xfId="0" applyFont="1" applyAlignment="1">
      <alignment horizontal="left" vertical="top" wrapText="1" indent="1"/>
    </xf>
    <xf numFmtId="0" fontId="36" fillId="3" borderId="2" xfId="0" applyFont="1" applyFill="1" applyBorder="1" applyAlignment="1">
      <alignment horizontal="left" vertical="center" indent="1"/>
    </xf>
    <xf numFmtId="0" fontId="37" fillId="3" borderId="11" xfId="0" applyFont="1" applyFill="1" applyBorder="1" applyAlignment="1">
      <alignment horizontal="left" vertical="center" indent="1"/>
    </xf>
    <xf numFmtId="0" fontId="38" fillId="3" borderId="3" xfId="0" applyFont="1" applyFill="1" applyBorder="1" applyAlignment="1">
      <alignment horizontal="left" vertical="top" wrapText="1" indent="1"/>
    </xf>
    <xf numFmtId="0" fontId="11" fillId="3" borderId="7" xfId="0" applyFont="1" applyFill="1" applyBorder="1" applyAlignment="1">
      <alignment horizontal="left" vertical="center" indent="1"/>
    </xf>
    <xf numFmtId="168" fontId="37" fillId="3" borderId="9" xfId="0" applyNumberFormat="1" applyFont="1" applyFill="1" applyBorder="1" applyAlignment="1">
      <alignment horizontal="right" vertical="center"/>
    </xf>
    <xf numFmtId="0" fontId="13" fillId="0" borderId="1" xfId="0" applyFont="1" applyBorder="1" applyAlignment="1">
      <alignment horizontal="left" vertical="center"/>
    </xf>
    <xf numFmtId="0" fontId="15" fillId="0" borderId="0" xfId="0" applyFont="1" applyAlignment="1">
      <alignment horizontal="left" vertical="center" indent="1"/>
    </xf>
    <xf numFmtId="0" fontId="30" fillId="0" borderId="0" xfId="0" applyFont="1" applyAlignment="1">
      <alignment horizontal="left" vertical="center" wrapText="1" indent="1"/>
    </xf>
    <xf numFmtId="0" fontId="15" fillId="6" borderId="9" xfId="0" applyFont="1" applyFill="1" applyBorder="1" applyAlignment="1">
      <alignment horizontal="left" vertical="center" wrapText="1" indent="1"/>
    </xf>
    <xf numFmtId="0" fontId="26" fillId="3" borderId="9" xfId="0" applyFont="1" applyFill="1" applyBorder="1" applyAlignment="1">
      <alignment horizontal="left" vertical="center" indent="1"/>
    </xf>
    <xf numFmtId="0" fontId="26" fillId="3" borderId="3" xfId="0" applyFont="1" applyFill="1" applyBorder="1" applyAlignment="1">
      <alignment horizontal="left" vertical="center" wrapText="1" indent="1"/>
    </xf>
    <xf numFmtId="0" fontId="41" fillId="0" borderId="10" xfId="0" applyFont="1" applyBorder="1" applyAlignment="1">
      <alignment horizontal="left" vertical="center" wrapText="1" indent="1"/>
    </xf>
    <xf numFmtId="0" fontId="11" fillId="3" borderId="13" xfId="0" applyFont="1" applyFill="1" applyBorder="1" applyAlignment="1">
      <alignment horizontal="left" vertical="center" wrapText="1" indent="1"/>
    </xf>
    <xf numFmtId="0" fontId="11" fillId="0" borderId="15" xfId="0" applyFont="1" applyBorder="1" applyAlignment="1">
      <alignment horizontal="left" vertical="center" wrapText="1" indent="1"/>
    </xf>
    <xf numFmtId="0" fontId="11" fillId="3" borderId="15" xfId="0" applyFont="1" applyFill="1" applyBorder="1" applyAlignment="1">
      <alignment horizontal="left" vertical="center" wrapText="1" indent="1"/>
    </xf>
    <xf numFmtId="0" fontId="11" fillId="0" borderId="17" xfId="0" applyFont="1" applyBorder="1" applyAlignment="1">
      <alignment horizontal="left" vertical="center" wrapText="1" indent="1"/>
    </xf>
    <xf numFmtId="0" fontId="42" fillId="0" borderId="0" xfId="0" applyFont="1" applyAlignment="1">
      <alignment horizontal="left" vertical="center" indent="1"/>
    </xf>
    <xf numFmtId="0" fontId="11" fillId="0" borderId="13" xfId="0" applyFont="1" applyBorder="1" applyAlignment="1">
      <alignment horizontal="left" vertical="center" wrapText="1" indent="1"/>
    </xf>
    <xf numFmtId="0" fontId="44" fillId="2" borderId="0" xfId="0" applyFont="1" applyFill="1" applyAlignment="1">
      <alignment horizontal="right" vertical="center"/>
    </xf>
    <xf numFmtId="0" fontId="45" fillId="2" borderId="0" xfId="0" applyFont="1" applyFill="1" applyAlignment="1">
      <alignment horizontal="left" vertical="center"/>
    </xf>
    <xf numFmtId="0" fontId="0" fillId="2" borderId="2" xfId="0" applyFill="1" applyBorder="1"/>
    <xf numFmtId="0" fontId="0" fillId="5" borderId="2" xfId="0" applyFill="1" applyBorder="1"/>
    <xf numFmtId="0" fontId="46" fillId="3" borderId="11" xfId="0" applyFont="1" applyFill="1" applyBorder="1" applyAlignment="1">
      <alignment horizontal="left" vertical="center" indent="1"/>
    </xf>
    <xf numFmtId="0" fontId="47" fillId="3" borderId="11" xfId="0" applyFont="1" applyFill="1" applyBorder="1" applyAlignment="1">
      <alignment horizontal="left" vertical="center" indent="1"/>
    </xf>
    <xf numFmtId="0" fontId="13" fillId="3" borderId="3" xfId="0" applyFont="1" applyFill="1" applyBorder="1" applyAlignment="1">
      <alignment horizontal="left" vertical="center" wrapText="1" indent="1"/>
    </xf>
    <xf numFmtId="0" fontId="48" fillId="3" borderId="3" xfId="0" applyFont="1" applyFill="1" applyBorder="1" applyAlignment="1">
      <alignment horizontal="left" vertical="center" indent="1"/>
    </xf>
    <xf numFmtId="0" fontId="49" fillId="3" borderId="11" xfId="0" applyFont="1" applyFill="1" applyBorder="1" applyAlignment="1">
      <alignment horizontal="left" vertical="center" wrapText="1" indent="1"/>
    </xf>
    <xf numFmtId="166" fontId="37" fillId="3" borderId="11" xfId="0" applyNumberFormat="1" applyFont="1" applyFill="1" applyBorder="1" applyAlignment="1">
      <alignment horizontal="left" vertical="center" indent="1"/>
    </xf>
    <xf numFmtId="168" fontId="37" fillId="3" borderId="11" xfId="0" applyNumberFormat="1" applyFont="1" applyFill="1" applyBorder="1" applyAlignment="1">
      <alignment horizontal="left" vertical="center" indent="1"/>
    </xf>
    <xf numFmtId="0" fontId="50" fillId="3" borderId="3" xfId="0" applyFont="1" applyFill="1" applyBorder="1" applyAlignment="1">
      <alignment horizontal="left" vertical="center" indent="1"/>
    </xf>
    <xf numFmtId="0" fontId="32" fillId="0" borderId="1" xfId="0" applyFont="1" applyBorder="1" applyAlignment="1">
      <alignment horizontal="left" vertical="center"/>
    </xf>
    <xf numFmtId="0" fontId="22" fillId="2" borderId="2" xfId="0" applyFont="1" applyFill="1" applyBorder="1" applyAlignment="1">
      <alignment horizontal="left" vertical="center" indent="1"/>
    </xf>
    <xf numFmtId="0" fontId="33" fillId="3" borderId="15" xfId="0" applyFont="1" applyFill="1" applyBorder="1" applyAlignment="1">
      <alignment horizontal="left" vertical="center"/>
    </xf>
    <xf numFmtId="0" fontId="33" fillId="0" borderId="15" xfId="0" applyFont="1" applyBorder="1" applyAlignment="1">
      <alignment horizontal="left" vertical="center"/>
    </xf>
    <xf numFmtId="0" fontId="33" fillId="0" borderId="17" xfId="0" applyFont="1" applyBorder="1" applyAlignment="1">
      <alignment horizontal="left" vertical="center"/>
    </xf>
    <xf numFmtId="0" fontId="13" fillId="3" borderId="10" xfId="0" applyFont="1" applyFill="1" applyBorder="1" applyAlignment="1">
      <alignment horizontal="left" vertical="center" indent="1"/>
    </xf>
    <xf numFmtId="0" fontId="30" fillId="0" borderId="0" xfId="0" applyFont="1" applyAlignment="1">
      <alignment horizontal="left" vertical="center" wrapText="1"/>
    </xf>
    <xf numFmtId="0" fontId="23" fillId="0" borderId="0" xfId="0" applyFont="1" applyAlignment="1">
      <alignment horizontal="center" vertical="center"/>
    </xf>
    <xf numFmtId="0" fontId="15" fillId="0" borderId="18" xfId="0" applyFont="1" applyBorder="1" applyAlignment="1">
      <alignment horizontal="left" vertical="top" wrapText="1"/>
    </xf>
    <xf numFmtId="0" fontId="15" fillId="0" borderId="0" xfId="0" applyFont="1" applyAlignment="1">
      <alignment horizontal="left" vertical="top" wrapText="1"/>
    </xf>
  </cellXfs>
  <cellStyles count="1">
    <cellStyle name="Normal" xfId="0" builtinId="0"/>
  </cellStyles>
  <dxfs count="2">
    <dxf>
      <fill>
        <patternFill>
          <bgColor rgb="FF8A5A3C"/>
        </patternFill>
      </fill>
    </dxf>
    <dxf>
      <fill>
        <patternFill>
          <bgColor rgb="FF23727C"/>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3727C"/>
      <rgbColor rgb="FF9FBECF"/>
      <rgbColor rgb="FF878787"/>
      <rgbColor rgb="FF9999FF"/>
      <rgbColor rgb="FF8A5A3C"/>
      <rgbColor rgb="FFF4F6F8"/>
      <rgbColor rgb="FFEDF4F5"/>
      <rgbColor rgb="FF660066"/>
      <rgbColor rgb="FFFF8080"/>
      <rgbColor rgb="FF0066CC"/>
      <rgbColor rgb="FFC7D9E2"/>
      <rgbColor rgb="FF000080"/>
      <rgbColor rgb="FFFF00FF"/>
      <rgbColor rgb="FFFFFF00"/>
      <rgbColor rgb="FF00FFFF"/>
      <rgbColor rgb="FF800080"/>
      <rgbColor rgb="FF800000"/>
      <rgbColor rgb="FF008080"/>
      <rgbColor rgb="FF0000FF"/>
      <rgbColor rgb="FF00CCFF"/>
      <rgbColor rgb="FFCCFFFF"/>
      <rgbColor rgb="FFD6DDE2"/>
      <rgbColor rgb="FFFFFF99"/>
      <rgbColor rgb="FF8FB8C9"/>
      <rgbColor rgb="FFFF99CC"/>
      <rgbColor rgb="FFCC99FF"/>
      <rgbColor rgb="FFD9D9D9"/>
      <rgbColor rgb="FF3366FF"/>
      <rgbColor rgb="FF33CCCC"/>
      <rgbColor rgb="FF99CC00"/>
      <rgbColor rgb="FFFFCC00"/>
      <rgbColor rgb="FFFF9900"/>
      <rgbColor rgb="FFFF6600"/>
      <rgbColor rgb="FF6B7A85"/>
      <rgbColor rgb="FF7FA3B5"/>
      <rgbColor rgb="FF083152"/>
      <rgbColor rgb="FF339966"/>
      <rgbColor rgb="FF003300"/>
      <rgbColor rgb="FF333300"/>
      <rgbColor rgb="FF993300"/>
      <rgbColor rgb="FF993366"/>
      <rgbColor rgb="FF0B4A63"/>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Cash effect for the period</c:v>
          </c:tx>
          <c:spPr>
            <a:solidFill>
              <a:srgbClr val="23727C"/>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'PROFIT TO CASH BRIDGE'!$Y$6:$Y$12</c:f>
              <c:strCache>
                <c:ptCount val="7"/>
                <c:pt idx="0">
                  <c:v>Net Profit</c:v>
                </c:pt>
                <c:pt idx="1">
                  <c:v>Non-Cash Items</c:v>
                </c:pt>
                <c:pt idx="2">
                  <c:v>Working Capital</c:v>
                </c:pt>
                <c:pt idx="3">
                  <c:v>Investing</c:v>
                </c:pt>
                <c:pt idx="4">
                  <c:v>Financing &amp; Owner</c:v>
                </c:pt>
                <c:pt idx="5">
                  <c:v>Other</c:v>
                </c:pt>
                <c:pt idx="6">
                  <c:v>Change in Cash</c:v>
                </c:pt>
              </c:strCache>
            </c:strRef>
          </c:cat>
          <c:val>
            <c:numRef>
              <c:f>'PROFIT TO CASH BRIDGE'!$Z$6:$Z$12</c:f>
              <c:numCache>
                <c:formatCode>\$#,##0;\(\$#,##0\);"-"</c:formatCode>
                <c:ptCount val="7"/>
                <c:pt idx="0">
                  <c:v>93400</c:v>
                </c:pt>
                <c:pt idx="1">
                  <c:v>94000</c:v>
                </c:pt>
                <c:pt idx="2">
                  <c:v>-126800</c:v>
                </c:pt>
                <c:pt idx="3">
                  <c:v>-104000</c:v>
                </c:pt>
                <c:pt idx="4">
                  <c:v>-15400</c:v>
                </c:pt>
                <c:pt idx="5">
                  <c:v>0</c:v>
                </c:pt>
                <c:pt idx="6">
                  <c:v>-58800</c:v>
                </c:pt>
              </c:numCache>
            </c:numRef>
          </c:val>
          <c:extLst>
            <c:ext xmlns:c16="http://schemas.microsoft.com/office/drawing/2014/chart" uri="{C3380CC4-5D6E-409C-BE32-E72D297353CC}">
              <c16:uniqueId val="{00000000-4A28-4259-82C4-998137B8D7F2}"/>
            </c:ext>
          </c:extLst>
        </c:ser>
        <c:dLbls>
          <c:showLegendKey val="0"/>
          <c:showVal val="0"/>
          <c:showCatName val="0"/>
          <c:showSerName val="0"/>
          <c:showPercent val="0"/>
          <c:showBubbleSize val="0"/>
        </c:dLbls>
        <c:gapWidth val="45"/>
        <c:axId val="67808965"/>
        <c:axId val="39730047"/>
      </c:barChart>
      <c:catAx>
        <c:axId val="67808965"/>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39730047"/>
        <c:crosses val="autoZero"/>
        <c:auto val="1"/>
        <c:lblAlgn val="ctr"/>
        <c:lblOffset val="100"/>
        <c:tickLblSkip val="1"/>
        <c:tickMarkSkip val="1"/>
        <c:noMultiLvlLbl val="0"/>
      </c:catAx>
      <c:valAx>
        <c:axId val="39730047"/>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67808965"/>
        <c:crosses val="autoZero"/>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Effect on calculated cash</c:v>
          </c:tx>
          <c:spPr>
            <a:solidFill>
              <a:srgbClr val="23727C"/>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'PROFIT TO CASH BRIDGE'!$Y$6:$Y$12</c:f>
              <c:strCache>
                <c:ptCount val="7"/>
                <c:pt idx="0">
                  <c:v>Net Profit</c:v>
                </c:pt>
                <c:pt idx="1">
                  <c:v>Non-Cash Items</c:v>
                </c:pt>
                <c:pt idx="2">
                  <c:v>Working Capital</c:v>
                </c:pt>
                <c:pt idx="3">
                  <c:v>Investing</c:v>
                </c:pt>
                <c:pt idx="4">
                  <c:v>Financing &amp; Owner</c:v>
                </c:pt>
                <c:pt idx="5">
                  <c:v>Other</c:v>
                </c:pt>
                <c:pt idx="6">
                  <c:v>Change in Cash</c:v>
                </c:pt>
              </c:strCache>
            </c:strRef>
          </c:cat>
          <c:val>
            <c:numRef>
              <c:f>'PROFIT TO CASH BRIDGE'!$Z$6:$Z$12</c:f>
              <c:numCache>
                <c:formatCode>\$#,##0;\(\$#,##0\);"-"</c:formatCode>
                <c:ptCount val="7"/>
                <c:pt idx="0">
                  <c:v>93400</c:v>
                </c:pt>
                <c:pt idx="1">
                  <c:v>94000</c:v>
                </c:pt>
                <c:pt idx="2">
                  <c:v>-126800</c:v>
                </c:pt>
                <c:pt idx="3">
                  <c:v>-104000</c:v>
                </c:pt>
                <c:pt idx="4">
                  <c:v>-15400</c:v>
                </c:pt>
                <c:pt idx="5">
                  <c:v>0</c:v>
                </c:pt>
                <c:pt idx="6">
                  <c:v>-58800</c:v>
                </c:pt>
              </c:numCache>
            </c:numRef>
          </c:val>
          <c:extLst>
            <c:ext xmlns:c16="http://schemas.microsoft.com/office/drawing/2014/chart" uri="{C3380CC4-5D6E-409C-BE32-E72D297353CC}">
              <c16:uniqueId val="{00000000-A6A3-47F8-A1AC-24E08C8FEE82}"/>
            </c:ext>
          </c:extLst>
        </c:ser>
        <c:dLbls>
          <c:showLegendKey val="0"/>
          <c:showVal val="0"/>
          <c:showCatName val="0"/>
          <c:showSerName val="0"/>
          <c:showPercent val="0"/>
          <c:showBubbleSize val="0"/>
        </c:dLbls>
        <c:gapWidth val="45"/>
        <c:axId val="43246823"/>
        <c:axId val="44472854"/>
      </c:barChart>
      <c:catAx>
        <c:axId val="43246823"/>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44472854"/>
        <c:crosses val="autoZero"/>
        <c:auto val="1"/>
        <c:lblAlgn val="ctr"/>
        <c:lblOffset val="100"/>
        <c:tickLblSkip val="1"/>
        <c:tickMarkSkip val="1"/>
        <c:noMultiLvlLbl val="0"/>
      </c:catAx>
      <c:valAx>
        <c:axId val="4447285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43246823"/>
        <c:crosses val="autoZero"/>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Total effect on calculated cash</c:v>
          </c:tx>
          <c:spPr>
            <a:solidFill>
              <a:srgbClr val="083152"/>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'EXECUTIVE DASHBOARD'!$Y$6:$Y$7</c:f>
              <c:strCache>
                <c:ptCount val="2"/>
                <c:pt idx="0">
                  <c:v>Positive Contributors</c:v>
                </c:pt>
                <c:pt idx="1">
                  <c:v>Negative Contributors</c:v>
                </c:pt>
              </c:strCache>
            </c:strRef>
          </c:cat>
          <c:val>
            <c:numRef>
              <c:f>'EXECUTIVE DASHBOARD'!$Z$6:$Z$7</c:f>
              <c:numCache>
                <c:formatCode>\$#,##0;\(\$#,##0\);"-"</c:formatCode>
                <c:ptCount val="2"/>
                <c:pt idx="0">
                  <c:v>285200</c:v>
                </c:pt>
                <c:pt idx="1">
                  <c:v>344000</c:v>
                </c:pt>
              </c:numCache>
            </c:numRef>
          </c:val>
          <c:extLst>
            <c:ext xmlns:c16="http://schemas.microsoft.com/office/drawing/2014/chart" uri="{C3380CC4-5D6E-409C-BE32-E72D297353CC}">
              <c16:uniqueId val="{00000000-DEA7-4B25-BDED-56CCD2C9AD65}"/>
            </c:ext>
          </c:extLst>
        </c:ser>
        <c:dLbls>
          <c:showLegendKey val="0"/>
          <c:showVal val="0"/>
          <c:showCatName val="0"/>
          <c:showSerName val="0"/>
          <c:showPercent val="0"/>
          <c:showBubbleSize val="0"/>
        </c:dLbls>
        <c:gapWidth val="90"/>
        <c:axId val="44514314"/>
        <c:axId val="49625391"/>
      </c:barChart>
      <c:catAx>
        <c:axId val="44514314"/>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49625391"/>
        <c:crosses val="autoZero"/>
        <c:auto val="1"/>
        <c:lblAlgn val="ctr"/>
        <c:lblOffset val="100"/>
        <c:tickLblSkip val="1"/>
        <c:tickMarkSkip val="1"/>
        <c:noMultiLvlLbl val="0"/>
      </c:catAx>
      <c:valAx>
        <c:axId val="49625391"/>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44514314"/>
        <c:crosses val="autoZero"/>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bar"/>
        <c:grouping val="clustered"/>
        <c:varyColors val="0"/>
        <c:ser>
          <c:idx val="0"/>
          <c:order val="0"/>
          <c:tx>
            <c:v>Effect on calculated cash</c:v>
          </c:tx>
          <c:spPr>
            <a:solidFill>
              <a:srgbClr val="23727C"/>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'CASH DRIVERS'!$B$8:$B$20</c:f>
              <c:strCache>
                <c:ptCount val="13"/>
                <c:pt idx="0">
                  <c:v>Profit / Operating Earnings</c:v>
                </c:pt>
                <c:pt idx="1">
                  <c:v>Non-Cash Adjustments</c:v>
                </c:pt>
                <c:pt idx="2">
                  <c:v>Accounts Receivable</c:v>
                </c:pt>
                <c:pt idx="3">
                  <c:v>Inventory</c:v>
                </c:pt>
                <c:pt idx="4">
                  <c:v>Other Operating Assets</c:v>
                </c:pt>
                <c:pt idx="5">
                  <c:v>Accounts Payable</c:v>
                </c:pt>
                <c:pt idx="6">
                  <c:v>Other Operating Liabilities</c:v>
                </c:pt>
                <c:pt idx="7">
                  <c:v>Capital Expenditures</c:v>
                </c:pt>
                <c:pt idx="8">
                  <c:v>Asset / Investment Activity</c:v>
                </c:pt>
                <c:pt idx="9">
                  <c:v>Debt Activity</c:v>
                </c:pt>
                <c:pt idx="10">
                  <c:v>Owner Contributions</c:v>
                </c:pt>
                <c:pt idx="11">
                  <c:v>Owner Distributions</c:v>
                </c:pt>
                <c:pt idx="12">
                  <c:v>Other Cash Movements</c:v>
                </c:pt>
              </c:strCache>
            </c:strRef>
          </c:cat>
          <c:val>
            <c:numRef>
              <c:f>'CASH DRIVERS'!$C$8:$C$20</c:f>
              <c:numCache>
                <c:formatCode>\$#,##0;\(\$#,##0\);"-"</c:formatCode>
                <c:ptCount val="13"/>
                <c:pt idx="0">
                  <c:v>93400</c:v>
                </c:pt>
                <c:pt idx="1">
                  <c:v>94000</c:v>
                </c:pt>
                <c:pt idx="2">
                  <c:v>-158000</c:v>
                </c:pt>
                <c:pt idx="3">
                  <c:v>-26000</c:v>
                </c:pt>
                <c:pt idx="4">
                  <c:v>3500</c:v>
                </c:pt>
                <c:pt idx="5">
                  <c:v>45000</c:v>
                </c:pt>
                <c:pt idx="6">
                  <c:v>8700</c:v>
                </c:pt>
                <c:pt idx="7">
                  <c:v>-118000</c:v>
                </c:pt>
                <c:pt idx="8">
                  <c:v>14000</c:v>
                </c:pt>
                <c:pt idx="9">
                  <c:v>26600</c:v>
                </c:pt>
                <c:pt idx="10">
                  <c:v>0</c:v>
                </c:pt>
                <c:pt idx="11">
                  <c:v>-42000</c:v>
                </c:pt>
                <c:pt idx="12">
                  <c:v>0</c:v>
                </c:pt>
              </c:numCache>
            </c:numRef>
          </c:val>
          <c:extLst>
            <c:ext xmlns:c16="http://schemas.microsoft.com/office/drawing/2014/chart" uri="{C3380CC4-5D6E-409C-BE32-E72D297353CC}">
              <c16:uniqueId val="{00000000-D7CB-4829-B53B-62EAE00A9B28}"/>
            </c:ext>
          </c:extLst>
        </c:ser>
        <c:dLbls>
          <c:showLegendKey val="0"/>
          <c:showVal val="0"/>
          <c:showCatName val="0"/>
          <c:showSerName val="0"/>
          <c:showPercent val="0"/>
          <c:showBubbleSize val="0"/>
        </c:dLbls>
        <c:gapWidth val="40"/>
        <c:axId val="81920683"/>
        <c:axId val="62590808"/>
      </c:barChart>
      <c:catAx>
        <c:axId val="81920683"/>
        <c:scaling>
          <c:orientation val="maxMin"/>
        </c:scaling>
        <c:delete val="0"/>
        <c:axPos val="l"/>
        <c:numFmt formatCode="General" sourceLinked="1"/>
        <c:majorTickMark val="none"/>
        <c:minorTickMark val="none"/>
        <c:tickLblPos val="low"/>
        <c:spPr>
          <a:ln w="9360">
            <a:solidFill>
              <a:srgbClr val="878787"/>
            </a:solidFill>
            <a:round/>
          </a:ln>
        </c:spPr>
        <c:txPr>
          <a:bodyPr/>
          <a:lstStyle/>
          <a:p>
            <a:pPr>
              <a:defRPr sz="900" b="0" strike="noStrike" spc="-1">
                <a:solidFill>
                  <a:srgbClr val="000000"/>
                </a:solidFill>
                <a:latin typeface="Arial"/>
              </a:defRPr>
            </a:pPr>
            <a:endParaRPr lang="en-US"/>
          </a:p>
        </c:txPr>
        <c:crossAx val="62590808"/>
        <c:crosses val="autoZero"/>
        <c:auto val="1"/>
        <c:lblAlgn val="ctr"/>
        <c:lblOffset val="100"/>
        <c:tickLblSkip val="1"/>
        <c:tickMarkSkip val="1"/>
        <c:noMultiLvlLbl val="0"/>
      </c:catAx>
      <c:valAx>
        <c:axId val="62590808"/>
        <c:scaling>
          <c:orientation val="minMax"/>
        </c:scaling>
        <c:delete val="0"/>
        <c:axPos val="b"/>
        <c:numFmt formatCode="\$#,##0" sourceLinked="0"/>
        <c:majorTickMark val="none"/>
        <c:minorTickMark val="none"/>
        <c:tickLblPos val="nextTo"/>
        <c:spPr>
          <a:ln w="9360">
            <a:solidFill>
              <a:srgbClr val="878787"/>
            </a:solidFill>
            <a:round/>
          </a:ln>
        </c:spPr>
        <c:txPr>
          <a:bodyPr/>
          <a:lstStyle/>
          <a:p>
            <a:pPr>
              <a:defRPr sz="850" b="0" strike="noStrike" spc="-1">
                <a:solidFill>
                  <a:srgbClr val="000000"/>
                </a:solidFill>
                <a:latin typeface="Arial"/>
              </a:defRPr>
            </a:pPr>
            <a:endParaRPr lang="en-US"/>
          </a:p>
        </c:txPr>
        <c:crossAx val="81920683"/>
        <c:crosses val="max"/>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45</xdr:row>
      <xdr:rowOff>0</xdr:rowOff>
    </xdr:from>
    <xdr:to>
      <xdr:col>6</xdr:col>
      <xdr:colOff>533880</xdr:colOff>
      <xdr:row>60</xdr:row>
      <xdr:rowOff>162785</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13</xdr:col>
      <xdr:colOff>288000</xdr:colOff>
      <xdr:row>36</xdr:row>
      <xdr:rowOff>165960</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0</xdr:colOff>
      <xdr:row>21</xdr:row>
      <xdr:rowOff>0</xdr:rowOff>
    </xdr:from>
    <xdr:to>
      <xdr:col>22</xdr:col>
      <xdr:colOff>84960</xdr:colOff>
      <xdr:row>36</xdr:row>
      <xdr:rowOff>165960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39</xdr:row>
      <xdr:rowOff>0</xdr:rowOff>
    </xdr:from>
    <xdr:to>
      <xdr:col>24</xdr:col>
      <xdr:colOff>268920</xdr:colOff>
      <xdr:row>59</xdr:row>
      <xdr:rowOff>5400</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7"/>
  <sheetViews>
    <sheetView showGridLines="0" tabSelected="1" zoomScaleNormal="100" workbookViewId="0">
      <selection activeCell="S64" sqref="S64:S65"/>
    </sheetView>
  </sheetViews>
  <sheetFormatPr defaultColWidth="8.6328125" defaultRowHeight="14.5" x14ac:dyDescent="0.35"/>
  <cols>
    <col min="1" max="1" width="3" customWidth="1"/>
    <col min="2" max="2" width="4" customWidth="1"/>
    <col min="3" max="7" width="15" customWidth="1"/>
    <col min="8" max="8" width="20" customWidth="1"/>
    <col min="9" max="9" width="3" customWidth="1"/>
  </cols>
  <sheetData>
    <row r="1" spans="1:9" ht="9.75" customHeight="1" x14ac:dyDescent="0.35">
      <c r="A1" s="15"/>
      <c r="B1" s="15"/>
      <c r="C1" s="15"/>
      <c r="D1" s="15"/>
      <c r="E1" s="15"/>
      <c r="F1" s="15"/>
      <c r="G1" s="15"/>
      <c r="H1" s="15"/>
      <c r="I1" s="15"/>
    </row>
    <row r="2" spans="1:9" ht="15.75" customHeight="1" x14ac:dyDescent="0.35">
      <c r="A2" s="15"/>
      <c r="B2" s="14" t="s">
        <v>0</v>
      </c>
      <c r="C2" s="14"/>
      <c r="D2" s="14"/>
      <c r="E2" s="14"/>
      <c r="F2" s="14"/>
      <c r="G2" s="14"/>
      <c r="H2" s="14"/>
      <c r="I2" s="15"/>
    </row>
    <row r="3" spans="1:9" ht="33.75" customHeight="1" x14ac:dyDescent="0.35">
      <c r="A3" s="15"/>
      <c r="B3" s="13" t="s">
        <v>1</v>
      </c>
      <c r="C3" s="13"/>
      <c r="D3" s="13"/>
      <c r="E3" s="13"/>
      <c r="F3" s="13"/>
      <c r="G3" s="13"/>
      <c r="H3" s="13"/>
      <c r="I3" s="15"/>
    </row>
    <row r="4" spans="1:9" ht="21.75" customHeight="1" x14ac:dyDescent="0.35">
      <c r="A4" s="15"/>
      <c r="B4" s="12" t="s">
        <v>2</v>
      </c>
      <c r="C4" s="12"/>
      <c r="D4" s="12"/>
      <c r="E4" s="12"/>
      <c r="F4" s="12"/>
      <c r="G4" s="12"/>
      <c r="H4" s="12"/>
      <c r="I4" s="15"/>
    </row>
    <row r="5" spans="1:9" ht="6" customHeight="1" x14ac:dyDescent="0.35">
      <c r="A5" s="15"/>
      <c r="B5" s="15"/>
      <c r="C5" s="15"/>
      <c r="D5" s="15"/>
      <c r="E5" s="15"/>
      <c r="F5" s="15"/>
      <c r="G5" s="15"/>
      <c r="H5" s="15"/>
      <c r="I5" s="15"/>
    </row>
    <row r="6" spans="1:9" ht="7.5" customHeight="1" x14ac:dyDescent="0.35">
      <c r="A6" s="15"/>
      <c r="B6" s="15"/>
      <c r="C6" s="15"/>
      <c r="D6" s="15"/>
      <c r="E6" s="15"/>
      <c r="F6" s="15"/>
      <c r="G6" s="15"/>
      <c r="H6" s="15"/>
      <c r="I6" s="15"/>
    </row>
    <row r="7" spans="1:9" ht="9.75" customHeight="1" x14ac:dyDescent="0.35"/>
    <row r="8" spans="1:9" ht="21.75" customHeight="1" x14ac:dyDescent="0.35">
      <c r="B8" s="11" t="s">
        <v>3</v>
      </c>
      <c r="C8" s="11"/>
      <c r="D8" s="11"/>
      <c r="E8" s="11"/>
      <c r="F8" s="11"/>
      <c r="G8" s="11"/>
      <c r="H8" s="11"/>
    </row>
    <row r="9" spans="1:9" ht="6" customHeight="1" x14ac:dyDescent="0.35"/>
    <row r="10" spans="1:9" ht="30" customHeight="1" x14ac:dyDescent="0.35">
      <c r="B10" s="10" t="s">
        <v>4</v>
      </c>
      <c r="C10" s="10"/>
      <c r="D10" s="10"/>
      <c r="E10" s="10"/>
      <c r="F10" s="10"/>
      <c r="G10" s="10"/>
      <c r="H10" s="10"/>
    </row>
    <row r="11" spans="1:9" ht="6" customHeight="1" x14ac:dyDescent="0.35"/>
    <row r="12" spans="1:9" ht="15.75" customHeight="1" x14ac:dyDescent="0.35">
      <c r="B12" s="9" t="s">
        <v>5</v>
      </c>
      <c r="C12" s="9"/>
      <c r="D12" s="9"/>
      <c r="E12" s="9"/>
      <c r="F12" s="9"/>
      <c r="G12" s="9"/>
      <c r="H12" s="9"/>
    </row>
    <row r="13" spans="1:9" ht="15.75" customHeight="1" x14ac:dyDescent="0.35">
      <c r="B13" s="16" t="s">
        <v>6</v>
      </c>
      <c r="C13" s="8" t="s">
        <v>7</v>
      </c>
      <c r="D13" s="8"/>
      <c r="E13" s="8"/>
      <c r="F13" s="8"/>
      <c r="G13" s="8"/>
      <c r="H13" s="8"/>
    </row>
    <row r="14" spans="1:9" ht="15.75" customHeight="1" x14ac:dyDescent="0.35">
      <c r="B14" s="16" t="s">
        <v>6</v>
      </c>
      <c r="C14" s="8" t="s">
        <v>8</v>
      </c>
      <c r="D14" s="8"/>
      <c r="E14" s="8"/>
      <c r="F14" s="8"/>
      <c r="G14" s="8"/>
      <c r="H14" s="8"/>
    </row>
    <row r="15" spans="1:9" ht="15.75" customHeight="1" x14ac:dyDescent="0.35">
      <c r="B15" s="16" t="s">
        <v>6</v>
      </c>
      <c r="C15" s="8" t="s">
        <v>9</v>
      </c>
      <c r="D15" s="8"/>
      <c r="E15" s="8"/>
      <c r="F15" s="8"/>
      <c r="G15" s="8"/>
      <c r="H15" s="8"/>
    </row>
    <row r="16" spans="1:9" ht="15.75" customHeight="1" x14ac:dyDescent="0.35">
      <c r="B16" s="16" t="s">
        <v>6</v>
      </c>
      <c r="C16" s="8" t="s">
        <v>10</v>
      </c>
      <c r="D16" s="8"/>
      <c r="E16" s="8"/>
      <c r="F16" s="8"/>
      <c r="G16" s="8"/>
      <c r="H16" s="8"/>
    </row>
    <row r="17" spans="2:8" ht="15.75" customHeight="1" x14ac:dyDescent="0.35">
      <c r="B17" s="16" t="s">
        <v>6</v>
      </c>
      <c r="C17" s="8" t="s">
        <v>11</v>
      </c>
      <c r="D17" s="8"/>
      <c r="E17" s="8"/>
      <c r="F17" s="8"/>
      <c r="G17" s="8"/>
      <c r="H17" s="8"/>
    </row>
    <row r="18" spans="2:8" ht="15.75" customHeight="1" x14ac:dyDescent="0.35">
      <c r="B18" s="16" t="s">
        <v>6</v>
      </c>
      <c r="C18" s="8" t="s">
        <v>12</v>
      </c>
      <c r="D18" s="8"/>
      <c r="E18" s="8"/>
      <c r="F18" s="8"/>
      <c r="G18" s="8"/>
      <c r="H18" s="8"/>
    </row>
    <row r="19" spans="2:8" ht="15.75" customHeight="1" x14ac:dyDescent="0.35">
      <c r="B19" s="16" t="s">
        <v>6</v>
      </c>
      <c r="C19" s="8" t="s">
        <v>13</v>
      </c>
      <c r="D19" s="8"/>
      <c r="E19" s="8"/>
      <c r="F19" s="8"/>
      <c r="G19" s="8"/>
      <c r="H19" s="8"/>
    </row>
    <row r="20" spans="2:8" ht="7.5" customHeight="1" x14ac:dyDescent="0.35"/>
    <row r="21" spans="2:8" ht="15.75" customHeight="1" x14ac:dyDescent="0.35">
      <c r="B21" s="9" t="s">
        <v>14</v>
      </c>
      <c r="C21" s="9"/>
      <c r="D21" s="9"/>
      <c r="E21" s="9"/>
      <c r="F21" s="9"/>
      <c r="G21" s="9"/>
      <c r="H21" s="9"/>
    </row>
    <row r="22" spans="2:8" ht="15.75" customHeight="1" x14ac:dyDescent="0.35">
      <c r="B22" s="16" t="s">
        <v>6</v>
      </c>
      <c r="C22" s="8" t="s">
        <v>15</v>
      </c>
      <c r="D22" s="8"/>
      <c r="E22" s="8"/>
      <c r="F22" s="8"/>
      <c r="G22" s="8"/>
      <c r="H22" s="8"/>
    </row>
    <row r="23" spans="2:8" ht="15.75" customHeight="1" x14ac:dyDescent="0.35">
      <c r="B23" s="16" t="s">
        <v>6</v>
      </c>
      <c r="C23" s="8" t="s">
        <v>16</v>
      </c>
      <c r="D23" s="8"/>
      <c r="E23" s="8"/>
      <c r="F23" s="8"/>
      <c r="G23" s="8"/>
      <c r="H23" s="8"/>
    </row>
    <row r="24" spans="2:8" ht="15.75" customHeight="1" x14ac:dyDescent="0.35">
      <c r="B24" s="16" t="s">
        <v>6</v>
      </c>
      <c r="C24" s="8" t="s">
        <v>17</v>
      </c>
      <c r="D24" s="8"/>
      <c r="E24" s="8"/>
      <c r="F24" s="8"/>
      <c r="G24" s="8"/>
      <c r="H24" s="8"/>
    </row>
    <row r="25" spans="2:8" ht="15.75" customHeight="1" x14ac:dyDescent="0.35">
      <c r="B25" s="16" t="s">
        <v>6</v>
      </c>
      <c r="C25" s="8" t="s">
        <v>18</v>
      </c>
      <c r="D25" s="8"/>
      <c r="E25" s="8"/>
      <c r="F25" s="8"/>
      <c r="G25" s="8"/>
      <c r="H25" s="8"/>
    </row>
    <row r="26" spans="2:8" ht="15.75" customHeight="1" x14ac:dyDescent="0.35">
      <c r="B26" s="16" t="s">
        <v>6</v>
      </c>
      <c r="C26" s="8" t="s">
        <v>19</v>
      </c>
      <c r="D26" s="8"/>
      <c r="E26" s="8"/>
      <c r="F26" s="8"/>
      <c r="G26" s="8"/>
      <c r="H26" s="8"/>
    </row>
    <row r="27" spans="2:8" ht="7.5" customHeight="1" x14ac:dyDescent="0.35"/>
    <row r="28" spans="2:8" ht="30" customHeight="1" x14ac:dyDescent="0.35">
      <c r="B28" s="9" t="s">
        <v>20</v>
      </c>
      <c r="C28" s="9"/>
      <c r="D28" s="9"/>
      <c r="E28" s="9"/>
      <c r="F28" s="9"/>
      <c r="G28" s="9"/>
      <c r="H28" s="9"/>
    </row>
    <row r="29" spans="2:8" ht="12" customHeight="1" x14ac:dyDescent="0.35"/>
    <row r="30" spans="2:8" ht="21.75" customHeight="1" x14ac:dyDescent="0.35">
      <c r="B30" s="11" t="s">
        <v>21</v>
      </c>
      <c r="C30" s="11"/>
      <c r="D30" s="11"/>
      <c r="E30" s="11"/>
      <c r="F30" s="11"/>
      <c r="G30" s="11"/>
      <c r="H30" s="11"/>
    </row>
    <row r="31" spans="2:8" ht="6" customHeight="1" x14ac:dyDescent="0.35"/>
    <row r="32" spans="2:8" ht="15.75" customHeight="1" x14ac:dyDescent="0.35">
      <c r="B32" s="7" t="s">
        <v>22</v>
      </c>
      <c r="C32" s="7"/>
      <c r="D32" s="7"/>
      <c r="E32" s="7"/>
      <c r="F32" s="7"/>
      <c r="G32" s="6" t="s">
        <v>23</v>
      </c>
      <c r="H32" s="6"/>
    </row>
    <row r="33" spans="2:8" ht="15" customHeight="1" x14ac:dyDescent="0.35">
      <c r="C33" s="5" t="s">
        <v>24</v>
      </c>
      <c r="D33" s="5"/>
      <c r="E33" s="5"/>
      <c r="F33" s="5"/>
      <c r="G33" s="5"/>
      <c r="H33" s="5"/>
    </row>
    <row r="34" spans="2:8" ht="15.75" customHeight="1" x14ac:dyDescent="0.35">
      <c r="B34" s="7" t="s">
        <v>25</v>
      </c>
      <c r="C34" s="7"/>
      <c r="D34" s="7"/>
      <c r="E34" s="7"/>
      <c r="F34" s="7"/>
      <c r="G34" s="6" t="s">
        <v>26</v>
      </c>
      <c r="H34" s="6"/>
    </row>
    <row r="35" spans="2:8" ht="15" customHeight="1" x14ac:dyDescent="0.35">
      <c r="C35" s="5" t="s">
        <v>27</v>
      </c>
      <c r="D35" s="5"/>
      <c r="E35" s="5"/>
      <c r="F35" s="5"/>
      <c r="G35" s="5"/>
      <c r="H35" s="5"/>
    </row>
    <row r="36" spans="2:8" ht="15.75" customHeight="1" x14ac:dyDescent="0.35">
      <c r="B36" s="7" t="s">
        <v>28</v>
      </c>
      <c r="C36" s="7"/>
      <c r="D36" s="7"/>
      <c r="E36" s="7"/>
      <c r="F36" s="7"/>
      <c r="G36" s="6" t="s">
        <v>29</v>
      </c>
      <c r="H36" s="6"/>
    </row>
    <row r="37" spans="2:8" ht="15" customHeight="1" x14ac:dyDescent="0.35">
      <c r="C37" s="5" t="s">
        <v>30</v>
      </c>
      <c r="D37" s="5"/>
      <c r="E37" s="5"/>
      <c r="F37" s="5"/>
      <c r="G37" s="5"/>
      <c r="H37" s="5"/>
    </row>
    <row r="38" spans="2:8" ht="15.75" customHeight="1" x14ac:dyDescent="0.35">
      <c r="B38" s="7" t="s">
        <v>31</v>
      </c>
      <c r="C38" s="7"/>
      <c r="D38" s="7"/>
      <c r="E38" s="7"/>
      <c r="F38" s="7"/>
      <c r="G38" s="6" t="s">
        <v>32</v>
      </c>
      <c r="H38" s="6"/>
    </row>
    <row r="39" spans="2:8" ht="15" customHeight="1" x14ac:dyDescent="0.35">
      <c r="C39" s="5" t="s">
        <v>33</v>
      </c>
      <c r="D39" s="5"/>
      <c r="E39" s="5"/>
      <c r="F39" s="5"/>
      <c r="G39" s="5"/>
      <c r="H39" s="5"/>
    </row>
    <row r="40" spans="2:8" ht="15.75" customHeight="1" x14ac:dyDescent="0.35">
      <c r="B40" s="7" t="s">
        <v>34</v>
      </c>
      <c r="C40" s="7"/>
      <c r="D40" s="7"/>
      <c r="E40" s="7"/>
      <c r="F40" s="7"/>
      <c r="G40" s="6" t="s">
        <v>35</v>
      </c>
      <c r="H40" s="6"/>
    </row>
    <row r="41" spans="2:8" ht="15" customHeight="1" x14ac:dyDescent="0.35">
      <c r="C41" s="5" t="s">
        <v>36</v>
      </c>
      <c r="D41" s="5"/>
      <c r="E41" s="5"/>
      <c r="F41" s="5"/>
      <c r="G41" s="5"/>
      <c r="H41" s="5"/>
    </row>
    <row r="42" spans="2:8" ht="12" customHeight="1" x14ac:dyDescent="0.35"/>
    <row r="43" spans="2:8" ht="21.75" customHeight="1" x14ac:dyDescent="0.35">
      <c r="B43" s="11" t="s">
        <v>37</v>
      </c>
      <c r="C43" s="11"/>
      <c r="D43" s="11"/>
      <c r="E43" s="11"/>
      <c r="F43" s="11"/>
      <c r="G43" s="11"/>
      <c r="H43" s="11"/>
    </row>
    <row r="44" spans="2:8" ht="6" customHeight="1" x14ac:dyDescent="0.35"/>
    <row r="45" spans="2:8" ht="30" customHeight="1" x14ac:dyDescent="0.35">
      <c r="B45" s="9" t="s">
        <v>38</v>
      </c>
      <c r="C45" s="9"/>
      <c r="D45" s="9"/>
      <c r="E45" s="9"/>
      <c r="F45" s="9"/>
      <c r="G45" s="9"/>
      <c r="H45" s="9"/>
    </row>
    <row r="46" spans="2:8" ht="3.75" customHeight="1" x14ac:dyDescent="0.35"/>
    <row r="47" spans="2:8" ht="18" customHeight="1" x14ac:dyDescent="0.35">
      <c r="B47" s="4" t="s">
        <v>39</v>
      </c>
      <c r="C47" s="4"/>
      <c r="D47" s="4"/>
      <c r="E47" s="4"/>
      <c r="F47" s="4" t="s">
        <v>40</v>
      </c>
      <c r="G47" s="4"/>
      <c r="H47" s="4"/>
    </row>
    <row r="48" spans="2:8" ht="15.75" customHeight="1" x14ac:dyDescent="0.35">
      <c r="B48" s="3" t="s">
        <v>41</v>
      </c>
      <c r="C48" s="3"/>
      <c r="D48" s="3"/>
      <c r="E48" s="3"/>
      <c r="F48" s="3" t="s">
        <v>42</v>
      </c>
      <c r="G48" s="3"/>
      <c r="H48" s="3"/>
    </row>
    <row r="49" spans="2:8" ht="15.75" customHeight="1" x14ac:dyDescent="0.35">
      <c r="B49" s="3"/>
      <c r="C49" s="3"/>
      <c r="D49" s="3"/>
      <c r="E49" s="3"/>
      <c r="F49" s="3"/>
      <c r="G49" s="3"/>
      <c r="H49" s="3"/>
    </row>
    <row r="50" spans="2:8" ht="15.75" customHeight="1" x14ac:dyDescent="0.35">
      <c r="B50" s="3"/>
      <c r="C50" s="3"/>
      <c r="D50" s="3"/>
      <c r="E50" s="3"/>
      <c r="F50" s="3"/>
      <c r="G50" s="3"/>
      <c r="H50" s="3"/>
    </row>
    <row r="51" spans="2:8" ht="15.75" customHeight="1" x14ac:dyDescent="0.35">
      <c r="B51" s="3"/>
      <c r="C51" s="3"/>
      <c r="D51" s="3"/>
      <c r="E51" s="3"/>
      <c r="F51" s="3"/>
      <c r="G51" s="3"/>
      <c r="H51" s="3"/>
    </row>
    <row r="53" spans="2:8" ht="7.5" customHeight="1" x14ac:dyDescent="0.35"/>
    <row r="54" spans="2:8" ht="21.75" customHeight="1" x14ac:dyDescent="0.35">
      <c r="B54" s="11" t="s">
        <v>43</v>
      </c>
      <c r="C54" s="11"/>
      <c r="D54" s="11"/>
      <c r="E54" s="11"/>
      <c r="F54" s="11"/>
      <c r="G54" s="11"/>
      <c r="H54" s="11"/>
    </row>
    <row r="55" spans="2:8" ht="6" customHeight="1" x14ac:dyDescent="0.35"/>
    <row r="56" spans="2:8" ht="21.75" customHeight="1" x14ac:dyDescent="0.35">
      <c r="B56" s="2" t="s">
        <v>44</v>
      </c>
      <c r="C56" s="2"/>
      <c r="D56" s="1" t="s">
        <v>45</v>
      </c>
      <c r="E56" s="1"/>
      <c r="F56" s="1"/>
      <c r="G56" s="1"/>
      <c r="H56" s="1"/>
    </row>
    <row r="57" spans="2:8" ht="27.75" customHeight="1" x14ac:dyDescent="0.35">
      <c r="B57" s="80" t="s">
        <v>46</v>
      </c>
      <c r="C57" s="80"/>
      <c r="D57" s="1" t="s">
        <v>47</v>
      </c>
      <c r="E57" s="1"/>
      <c r="F57" s="1"/>
      <c r="G57" s="1"/>
      <c r="H57" s="1"/>
    </row>
    <row r="59" spans="2:8" ht="18" customHeight="1" x14ac:dyDescent="0.35">
      <c r="B59" s="81" t="s">
        <v>48</v>
      </c>
      <c r="C59" s="81"/>
      <c r="D59" s="81"/>
      <c r="E59" s="81"/>
      <c r="F59" s="81"/>
      <c r="G59" s="81"/>
      <c r="H59" s="81"/>
    </row>
    <row r="60" spans="2:8" ht="19" customHeight="1" x14ac:dyDescent="0.35">
      <c r="B60" s="82" t="s">
        <v>49</v>
      </c>
      <c r="C60" s="82"/>
      <c r="D60" s="82"/>
      <c r="E60" s="82"/>
      <c r="F60" s="82"/>
      <c r="G60" s="82"/>
      <c r="H60" s="82"/>
    </row>
    <row r="61" spans="2:8" ht="19" customHeight="1" x14ac:dyDescent="0.35">
      <c r="B61" s="82"/>
      <c r="C61" s="82"/>
      <c r="D61" s="82"/>
      <c r="E61" s="82"/>
      <c r="F61" s="82"/>
      <c r="G61" s="82"/>
      <c r="H61" s="82"/>
    </row>
    <row r="62" spans="2:8" ht="19" customHeight="1" x14ac:dyDescent="0.35">
      <c r="B62" s="82"/>
      <c r="C62" s="82"/>
      <c r="D62" s="82"/>
      <c r="E62" s="82"/>
      <c r="F62" s="82"/>
      <c r="G62" s="82"/>
      <c r="H62" s="82"/>
    </row>
    <row r="63" spans="2:8" ht="19" customHeight="1" x14ac:dyDescent="0.35">
      <c r="B63" s="82"/>
      <c r="C63" s="82"/>
      <c r="D63" s="82"/>
      <c r="E63" s="82"/>
      <c r="F63" s="82"/>
      <c r="G63" s="82"/>
      <c r="H63" s="82"/>
    </row>
    <row r="65" spans="1:9" ht="19.5" customHeight="1" x14ac:dyDescent="0.35">
      <c r="A65" s="15"/>
      <c r="B65" s="83" t="s">
        <v>50</v>
      </c>
      <c r="C65" s="83"/>
      <c r="D65" s="83"/>
      <c r="E65" s="83"/>
      <c r="F65" s="83"/>
      <c r="G65" s="83"/>
      <c r="H65" s="83"/>
      <c r="I65" s="15"/>
    </row>
    <row r="66" spans="1:9" ht="15.75" customHeight="1" x14ac:dyDescent="0.35">
      <c r="A66" s="15"/>
      <c r="B66" s="84" t="s">
        <v>51</v>
      </c>
      <c r="C66" s="84"/>
      <c r="D66" s="84"/>
      <c r="E66" s="84"/>
      <c r="F66" s="84"/>
      <c r="G66" s="84"/>
      <c r="H66" s="84"/>
      <c r="I66" s="15"/>
    </row>
    <row r="67" spans="1:9" ht="15.75" customHeight="1" x14ac:dyDescent="0.35">
      <c r="A67" s="15"/>
      <c r="B67" s="85" t="s">
        <v>52</v>
      </c>
      <c r="C67" s="85"/>
      <c r="D67" s="85"/>
      <c r="E67" s="85"/>
      <c r="F67" s="85"/>
      <c r="G67" s="85"/>
      <c r="H67" s="85"/>
      <c r="I67" s="15"/>
    </row>
  </sheetData>
  <sheetProtection sheet="1" formatCells="0" sort="0" autoFilter="0"/>
  <mergeCells count="52">
    <mergeCell ref="B59:H59"/>
    <mergeCell ref="B60:H63"/>
    <mergeCell ref="B65:H65"/>
    <mergeCell ref="B66:H66"/>
    <mergeCell ref="B67:H67"/>
    <mergeCell ref="B54:H54"/>
    <mergeCell ref="B56:C56"/>
    <mergeCell ref="D56:H56"/>
    <mergeCell ref="B57:C57"/>
    <mergeCell ref="D57:H57"/>
    <mergeCell ref="B45:H45"/>
    <mergeCell ref="B47:E47"/>
    <mergeCell ref="F47:H47"/>
    <mergeCell ref="B48:E51"/>
    <mergeCell ref="F48:H51"/>
    <mergeCell ref="C39:H39"/>
    <mergeCell ref="B40:F40"/>
    <mergeCell ref="G40:H40"/>
    <mergeCell ref="C41:H41"/>
    <mergeCell ref="B43:H43"/>
    <mergeCell ref="C35:H35"/>
    <mergeCell ref="B36:F36"/>
    <mergeCell ref="G36:H36"/>
    <mergeCell ref="C37:H37"/>
    <mergeCell ref="B38:F38"/>
    <mergeCell ref="G38:H38"/>
    <mergeCell ref="B30:H30"/>
    <mergeCell ref="B32:F32"/>
    <mergeCell ref="G32:H32"/>
    <mergeCell ref="C33:H33"/>
    <mergeCell ref="B34:F34"/>
    <mergeCell ref="G34:H34"/>
    <mergeCell ref="C23:H23"/>
    <mergeCell ref="C24:H24"/>
    <mergeCell ref="C25:H25"/>
    <mergeCell ref="C26:H26"/>
    <mergeCell ref="B28:H28"/>
    <mergeCell ref="C17:H17"/>
    <mergeCell ref="C18:H18"/>
    <mergeCell ref="C19:H19"/>
    <mergeCell ref="B21:H21"/>
    <mergeCell ref="C22:H22"/>
    <mergeCell ref="B12:H12"/>
    <mergeCell ref="C13:H13"/>
    <mergeCell ref="C14:H14"/>
    <mergeCell ref="C15:H15"/>
    <mergeCell ref="C16:H16"/>
    <mergeCell ref="B2:H2"/>
    <mergeCell ref="B3:H3"/>
    <mergeCell ref="B4:H4"/>
    <mergeCell ref="B8:H8"/>
    <mergeCell ref="B10:H10"/>
  </mergeCells>
  <pageMargins left="0.75" right="0.75" top="0.3" bottom="0.3"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8"/>
  <sheetViews>
    <sheetView showGridLines="0" zoomScaleNormal="100" workbookViewId="0">
      <pane ySplit="5" topLeftCell="A6" activePane="bottomLeft" state="frozen"/>
      <selection pane="bottomLeft"/>
    </sheetView>
  </sheetViews>
  <sheetFormatPr defaultColWidth="8.6328125" defaultRowHeight="14.5" x14ac:dyDescent="0.35"/>
  <cols>
    <col min="1" max="1" width="3" customWidth="1"/>
    <col min="2" max="2" width="42" customWidth="1"/>
    <col min="3" max="3" width="27" customWidth="1"/>
    <col min="4" max="4" width="18" customWidth="1"/>
    <col min="5" max="5" width="15" customWidth="1"/>
    <col min="6" max="6" width="17" customWidth="1"/>
    <col min="7" max="7" width="21" customWidth="1"/>
    <col min="8" max="8" width="46" customWidth="1"/>
    <col min="9" max="9" width="3" customWidth="1"/>
  </cols>
  <sheetData>
    <row r="1" spans="1:9" ht="13.5" customHeight="1" x14ac:dyDescent="0.35">
      <c r="A1" s="15"/>
      <c r="B1" s="86" t="s">
        <v>0</v>
      </c>
      <c r="C1" s="86"/>
      <c r="D1" s="86"/>
      <c r="E1" s="86"/>
      <c r="F1" s="86"/>
      <c r="G1" s="86"/>
      <c r="H1" s="86"/>
      <c r="I1" s="86"/>
    </row>
    <row r="2" spans="1:9" ht="27.75" customHeight="1" x14ac:dyDescent="0.35">
      <c r="A2" s="15"/>
      <c r="B2" s="87" t="s">
        <v>53</v>
      </c>
      <c r="C2" s="87"/>
      <c r="D2" s="87"/>
      <c r="E2" s="87"/>
      <c r="F2" s="88" t="s">
        <v>54</v>
      </c>
      <c r="G2" s="88"/>
      <c r="H2" s="88"/>
      <c r="I2" s="15"/>
    </row>
    <row r="3" spans="1:9" ht="15.75" customHeight="1" x14ac:dyDescent="0.35">
      <c r="A3" s="15"/>
      <c r="B3" s="89" t="s">
        <v>55</v>
      </c>
      <c r="C3" s="89"/>
      <c r="D3" s="89"/>
      <c r="E3" s="89"/>
      <c r="F3" s="89"/>
      <c r="G3" s="89"/>
      <c r="H3" s="89"/>
      <c r="I3" s="15"/>
    </row>
    <row r="4" spans="1:9" ht="7.5" customHeight="1" x14ac:dyDescent="0.35">
      <c r="A4" s="15"/>
      <c r="B4" s="15"/>
      <c r="C4" s="15"/>
      <c r="D4" s="15"/>
      <c r="E4" s="15"/>
      <c r="F4" s="15"/>
      <c r="G4" s="15"/>
      <c r="H4" s="15"/>
      <c r="I4" s="15"/>
    </row>
    <row r="5" spans="1:9" ht="7.5" customHeight="1" x14ac:dyDescent="0.35"/>
    <row r="6" spans="1:9" ht="19.5" customHeight="1" x14ac:dyDescent="0.35">
      <c r="B6" s="90" t="s">
        <v>56</v>
      </c>
      <c r="C6" s="90"/>
    </row>
    <row r="7" spans="1:9" ht="18" customHeight="1" x14ac:dyDescent="0.35">
      <c r="B7" s="18" t="s">
        <v>57</v>
      </c>
      <c r="C7" s="19" t="s">
        <v>58</v>
      </c>
      <c r="D7" s="18" t="s">
        <v>59</v>
      </c>
      <c r="E7" s="20"/>
      <c r="F7" s="20"/>
      <c r="G7" s="20"/>
      <c r="H7" s="20"/>
    </row>
    <row r="8" spans="1:9" ht="21.75" customHeight="1" x14ac:dyDescent="0.35">
      <c r="B8" s="21" t="s">
        <v>60</v>
      </c>
      <c r="C8" s="22" t="s">
        <v>61</v>
      </c>
      <c r="D8" s="91" t="s">
        <v>62</v>
      </c>
      <c r="E8" s="91"/>
      <c r="F8" s="91"/>
      <c r="G8" s="91"/>
      <c r="H8" s="91"/>
    </row>
    <row r="9" spans="1:9" ht="21.75" customHeight="1" x14ac:dyDescent="0.35">
      <c r="B9" s="21" t="s">
        <v>63</v>
      </c>
      <c r="C9" s="22" t="s">
        <v>64</v>
      </c>
      <c r="D9" s="91" t="s">
        <v>65</v>
      </c>
      <c r="E9" s="91"/>
      <c r="F9" s="91"/>
      <c r="G9" s="91"/>
      <c r="H9" s="91"/>
    </row>
    <row r="10" spans="1:9" ht="21.75" customHeight="1" x14ac:dyDescent="0.35">
      <c r="B10" s="21" t="s">
        <v>66</v>
      </c>
      <c r="C10" s="23">
        <v>45839</v>
      </c>
      <c r="D10" s="91" t="s">
        <v>67</v>
      </c>
      <c r="E10" s="91"/>
      <c r="F10" s="91"/>
      <c r="G10" s="91"/>
      <c r="H10" s="91"/>
    </row>
    <row r="11" spans="1:9" ht="21.75" customHeight="1" x14ac:dyDescent="0.35">
      <c r="B11" s="21" t="s">
        <v>68</v>
      </c>
      <c r="C11" s="23">
        <v>46203</v>
      </c>
      <c r="D11" s="91" t="s">
        <v>69</v>
      </c>
      <c r="E11" s="91"/>
      <c r="F11" s="91"/>
      <c r="G11" s="91"/>
      <c r="H11" s="91"/>
    </row>
    <row r="12" spans="1:9" ht="21.75" customHeight="1" x14ac:dyDescent="0.35">
      <c r="B12" s="21" t="s">
        <v>70</v>
      </c>
      <c r="C12" s="24">
        <v>12</v>
      </c>
      <c r="D12" s="91" t="s">
        <v>71</v>
      </c>
      <c r="E12" s="91"/>
      <c r="F12" s="91"/>
      <c r="G12" s="91"/>
      <c r="H12" s="91"/>
    </row>
    <row r="13" spans="1:9" ht="12" customHeight="1" x14ac:dyDescent="0.35"/>
    <row r="14" spans="1:9" ht="19.5" customHeight="1" x14ac:dyDescent="0.35">
      <c r="B14" s="90" t="s">
        <v>72</v>
      </c>
      <c r="C14" s="90"/>
    </row>
    <row r="15" spans="1:9" ht="18" customHeight="1" x14ac:dyDescent="0.35">
      <c r="B15" s="18" t="s">
        <v>57</v>
      </c>
      <c r="C15" s="19" t="s">
        <v>58</v>
      </c>
      <c r="D15" s="18" t="s">
        <v>59</v>
      </c>
      <c r="E15" s="20"/>
      <c r="F15" s="20"/>
      <c r="G15" s="20"/>
      <c r="H15" s="20"/>
    </row>
    <row r="16" spans="1:9" ht="21.75" customHeight="1" x14ac:dyDescent="0.35">
      <c r="B16" s="21" t="s">
        <v>73</v>
      </c>
      <c r="C16" s="25">
        <v>2480000</v>
      </c>
      <c r="D16" s="91" t="s">
        <v>74</v>
      </c>
      <c r="E16" s="91"/>
      <c r="F16" s="91"/>
      <c r="G16" s="91"/>
      <c r="H16" s="91"/>
    </row>
    <row r="17" spans="2:8" ht="21.75" customHeight="1" x14ac:dyDescent="0.35">
      <c r="B17" s="21" t="s">
        <v>75</v>
      </c>
      <c r="C17" s="25">
        <v>1512000</v>
      </c>
      <c r="D17" s="91" t="s">
        <v>76</v>
      </c>
      <c r="E17" s="91"/>
      <c r="F17" s="91"/>
      <c r="G17" s="91"/>
      <c r="H17" s="91"/>
    </row>
    <row r="18" spans="2:8" ht="21.75" customHeight="1" x14ac:dyDescent="0.35">
      <c r="B18" s="26" t="s">
        <v>77</v>
      </c>
      <c r="C18" s="27">
        <f>IFERROR(C16-C17,0)</f>
        <v>968000</v>
      </c>
      <c r="D18" s="91" t="s">
        <v>78</v>
      </c>
      <c r="E18" s="91"/>
      <c r="F18" s="91"/>
      <c r="G18" s="91"/>
      <c r="H18" s="91"/>
    </row>
    <row r="19" spans="2:8" ht="30" customHeight="1" x14ac:dyDescent="0.35">
      <c r="B19" s="21" t="s">
        <v>79</v>
      </c>
      <c r="C19" s="25">
        <v>742000</v>
      </c>
      <c r="D19" s="91" t="s">
        <v>80</v>
      </c>
      <c r="E19" s="91"/>
      <c r="F19" s="91"/>
      <c r="G19" s="91"/>
      <c r="H19" s="91"/>
    </row>
    <row r="20" spans="2:8" ht="30" customHeight="1" x14ac:dyDescent="0.35">
      <c r="B20" s="21" t="s">
        <v>81</v>
      </c>
      <c r="C20" s="25">
        <v>86000</v>
      </c>
      <c r="D20" s="91" t="s">
        <v>82</v>
      </c>
      <c r="E20" s="91"/>
      <c r="F20" s="91"/>
      <c r="G20" s="91"/>
      <c r="H20" s="91"/>
    </row>
    <row r="21" spans="2:8" ht="30" customHeight="1" x14ac:dyDescent="0.35">
      <c r="B21" s="21" t="s">
        <v>83</v>
      </c>
      <c r="C21" s="25">
        <v>24000</v>
      </c>
      <c r="D21" s="91" t="s">
        <v>84</v>
      </c>
      <c r="E21" s="91"/>
      <c r="F21" s="91"/>
      <c r="G21" s="91"/>
      <c r="H21" s="91"/>
    </row>
    <row r="22" spans="2:8" ht="21.75" customHeight="1" x14ac:dyDescent="0.35">
      <c r="B22" s="21" t="s">
        <v>85</v>
      </c>
      <c r="C22" s="25">
        <v>22600</v>
      </c>
      <c r="D22" s="91" t="s">
        <v>86</v>
      </c>
      <c r="E22" s="91"/>
      <c r="F22" s="91"/>
      <c r="G22" s="91"/>
      <c r="H22" s="91"/>
    </row>
    <row r="23" spans="2:8" ht="30" customHeight="1" x14ac:dyDescent="0.35">
      <c r="B23" s="21" t="s">
        <v>87</v>
      </c>
      <c r="C23" s="25">
        <v>93400</v>
      </c>
      <c r="D23" s="91" t="s">
        <v>88</v>
      </c>
      <c r="E23" s="91"/>
      <c r="F23" s="91"/>
      <c r="G23" s="91"/>
      <c r="H23" s="91"/>
    </row>
    <row r="24" spans="2:8" ht="30" customHeight="1" x14ac:dyDescent="0.35">
      <c r="B24" s="26" t="s">
        <v>89</v>
      </c>
      <c r="C24" s="27">
        <f>IFERROR(C18-C19-C20-C21-C22,0)</f>
        <v>93400</v>
      </c>
      <c r="D24" s="91" t="s">
        <v>90</v>
      </c>
      <c r="E24" s="91"/>
      <c r="F24" s="91"/>
      <c r="G24" s="91"/>
      <c r="H24" s="91"/>
    </row>
    <row r="25" spans="2:8" ht="21.75" customHeight="1" x14ac:dyDescent="0.35">
      <c r="B25" s="28" t="s">
        <v>91</v>
      </c>
      <c r="C25" s="29" t="str">
        <f>IFERROR(IF(ROUND(C23-C24,0)=0,"Components agree","Differ by "&amp;TEXT(ABS(C23-C24),"$#,##0;($#,##0)")),"")</f>
        <v>Components agree</v>
      </c>
      <c r="D25" s="92" t="s">
        <v>92</v>
      </c>
      <c r="E25" s="92"/>
      <c r="F25" s="92"/>
      <c r="G25" s="92"/>
      <c r="H25" s="92"/>
    </row>
    <row r="26" spans="2:8" ht="12" customHeight="1" x14ac:dyDescent="0.35"/>
    <row r="27" spans="2:8" ht="19.5" customHeight="1" x14ac:dyDescent="0.35">
      <c r="B27" s="90" t="s">
        <v>93</v>
      </c>
      <c r="C27" s="90"/>
    </row>
    <row r="28" spans="2:8" ht="18" customHeight="1" x14ac:dyDescent="0.35">
      <c r="B28" s="18" t="s">
        <v>57</v>
      </c>
      <c r="C28" s="19" t="s">
        <v>58</v>
      </c>
      <c r="D28" s="18" t="s">
        <v>59</v>
      </c>
      <c r="E28" s="20"/>
      <c r="F28" s="20"/>
      <c r="G28" s="20"/>
      <c r="H28" s="20"/>
    </row>
    <row r="29" spans="2:8" ht="21.75" customHeight="1" x14ac:dyDescent="0.35">
      <c r="B29" s="21" t="s">
        <v>94</v>
      </c>
      <c r="C29" s="25">
        <v>214000</v>
      </c>
      <c r="D29" s="91" t="s">
        <v>95</v>
      </c>
      <c r="E29" s="91"/>
      <c r="F29" s="91"/>
      <c r="G29" s="91"/>
      <c r="H29" s="91"/>
    </row>
    <row r="30" spans="2:8" ht="21.75" customHeight="1" x14ac:dyDescent="0.35">
      <c r="B30" s="21" t="s">
        <v>96</v>
      </c>
      <c r="C30" s="25">
        <v>155200</v>
      </c>
      <c r="D30" s="91" t="s">
        <v>97</v>
      </c>
      <c r="E30" s="91"/>
      <c r="F30" s="91"/>
      <c r="G30" s="91"/>
      <c r="H30" s="91"/>
    </row>
    <row r="31" spans="2:8" ht="21.75" customHeight="1" x14ac:dyDescent="0.35">
      <c r="B31" s="28" t="s">
        <v>98</v>
      </c>
      <c r="C31" s="30">
        <f>IFERROR(C30-C29,0)</f>
        <v>-58800</v>
      </c>
      <c r="D31" s="91" t="s">
        <v>99</v>
      </c>
      <c r="E31" s="91"/>
      <c r="F31" s="91"/>
      <c r="G31" s="91"/>
      <c r="H31" s="91"/>
    </row>
    <row r="32" spans="2:8" ht="12" customHeight="1" x14ac:dyDescent="0.35"/>
    <row r="33" spans="2:8" ht="19.5" customHeight="1" x14ac:dyDescent="0.35">
      <c r="B33" s="90" t="s">
        <v>100</v>
      </c>
      <c r="C33" s="90"/>
      <c r="D33" s="90"/>
      <c r="E33" s="90"/>
      <c r="F33" s="90"/>
      <c r="G33" s="90"/>
      <c r="H33" s="90"/>
    </row>
    <row r="34" spans="2:8" ht="30" customHeight="1" x14ac:dyDescent="0.35">
      <c r="B34" s="91" t="s">
        <v>101</v>
      </c>
      <c r="C34" s="91"/>
      <c r="D34" s="91"/>
      <c r="E34" s="91"/>
      <c r="F34" s="91"/>
      <c r="G34" s="91"/>
      <c r="H34" s="91"/>
    </row>
    <row r="35" spans="2:8" ht="31.5" customHeight="1" x14ac:dyDescent="0.35">
      <c r="B35" s="31" t="s">
        <v>102</v>
      </c>
      <c r="C35" s="32" t="s">
        <v>103</v>
      </c>
      <c r="D35" s="32" t="s">
        <v>104</v>
      </c>
      <c r="E35" s="32" t="s">
        <v>105</v>
      </c>
      <c r="F35" s="32" t="s">
        <v>106</v>
      </c>
      <c r="G35" s="33" t="s">
        <v>107</v>
      </c>
      <c r="H35" s="31" t="s">
        <v>108</v>
      </c>
    </row>
    <row r="36" spans="2:8" ht="18" customHeight="1" x14ac:dyDescent="0.35">
      <c r="B36" s="93" t="s">
        <v>109</v>
      </c>
      <c r="C36" s="93"/>
      <c r="D36" s="93"/>
      <c r="E36" s="93"/>
      <c r="F36" s="93"/>
      <c r="G36" s="93"/>
      <c r="H36" s="93"/>
    </row>
    <row r="37" spans="2:8" ht="19.5" customHeight="1" x14ac:dyDescent="0.35">
      <c r="B37" s="34" t="s">
        <v>110</v>
      </c>
      <c r="C37" s="35">
        <v>384000</v>
      </c>
      <c r="D37" s="35">
        <v>542000</v>
      </c>
      <c r="E37" s="36">
        <f>IFERROR(D37-C37,0)</f>
        <v>158000</v>
      </c>
      <c r="F37" s="37">
        <f>IFERROR(IF(G37="Operating Liability",E37,IF(G37="Operating Asset",-E37,0)),0)</f>
        <v>-158000</v>
      </c>
      <c r="G37" s="38" t="s">
        <v>111</v>
      </c>
      <c r="H37" s="39" t="str">
        <f>IFERROR(IF(AND(G37&lt;&gt;"Operating Asset",G37&lt;&gt;"Operating Liability"),"Set the type so this account is included.",IF(ROUND(E37,0)=0,"No movement during the period.",IF(E37&gt;0,"Increased by "&amp;TEXT(E37,"$#,##0;($#,##0)")&amp;" — ","Decreased by "&amp;TEXT(-E37,"$#,##0;($#,##0)")&amp;" — ")&amp;IF(F37&lt;0,"used cash.","released cash."))),"")</f>
        <v>Increased by $158,000 — used cash.</v>
      </c>
    </row>
    <row r="38" spans="2:8" ht="19.5" customHeight="1" x14ac:dyDescent="0.35">
      <c r="B38" s="34" t="s">
        <v>112</v>
      </c>
      <c r="C38" s="35">
        <v>142000</v>
      </c>
      <c r="D38" s="35">
        <v>168000</v>
      </c>
      <c r="E38" s="36">
        <f>IFERROR(D38-C38,0)</f>
        <v>26000</v>
      </c>
      <c r="F38" s="37">
        <f>IFERROR(IF(G38="Operating Liability",E38,IF(G38="Operating Asset",-E38,0)),0)</f>
        <v>-26000</v>
      </c>
      <c r="G38" s="38" t="s">
        <v>111</v>
      </c>
      <c r="H38" s="39" t="str">
        <f>IFERROR(IF(AND(G38&lt;&gt;"Operating Asset",G38&lt;&gt;"Operating Liability"),"Set the type so this account is included.",IF(ROUND(E38,0)=0,"No movement during the period.",IF(E38&gt;0,"Increased by "&amp;TEXT(E38,"$#,##0;($#,##0)")&amp;" — ","Decreased by "&amp;TEXT(-E38,"$#,##0;($#,##0)")&amp;" — ")&amp;IF(F38&lt;0,"used cash.","released cash."))),"")</f>
        <v>Increased by $26,000 — used cash.</v>
      </c>
    </row>
    <row r="39" spans="2:8" ht="19.5" customHeight="1" x14ac:dyDescent="0.35">
      <c r="B39" s="34" t="s">
        <v>113</v>
      </c>
      <c r="C39" s="35">
        <v>31000</v>
      </c>
      <c r="D39" s="35">
        <v>27500</v>
      </c>
      <c r="E39" s="36">
        <f>IFERROR(D39-C39,0)</f>
        <v>-3500</v>
      </c>
      <c r="F39" s="37">
        <f>IFERROR(IF(G39="Operating Liability",E39,IF(G39="Operating Asset",-E39,0)),0)</f>
        <v>3500</v>
      </c>
      <c r="G39" s="38" t="s">
        <v>111</v>
      </c>
      <c r="H39" s="39" t="str">
        <f>IFERROR(IF(AND(G39&lt;&gt;"Operating Asset",G39&lt;&gt;"Operating Liability"),"Set the type so this account is included.",IF(ROUND(E39,0)=0,"No movement during the period.",IF(E39&gt;0,"Increased by "&amp;TEXT(E39,"$#,##0;($#,##0)")&amp;" — ","Decreased by "&amp;TEXT(-E39,"$#,##0;($#,##0)")&amp;" — ")&amp;IF(F39&lt;0,"used cash.","released cash."))),"")</f>
        <v>Decreased by $3,500 — released cash.</v>
      </c>
    </row>
    <row r="40" spans="2:8" ht="19.5" customHeight="1" x14ac:dyDescent="0.35">
      <c r="B40" s="34" t="s">
        <v>114</v>
      </c>
      <c r="C40" s="35">
        <v>12000</v>
      </c>
      <c r="D40" s="35">
        <v>12000</v>
      </c>
      <c r="E40" s="36">
        <f>IFERROR(D40-C40,0)</f>
        <v>0</v>
      </c>
      <c r="F40" s="37">
        <f>IFERROR(IF(G40="Operating Liability",E40,IF(G40="Operating Asset",-E40,0)),0)</f>
        <v>0</v>
      </c>
      <c r="G40" s="38" t="s">
        <v>111</v>
      </c>
      <c r="H40" s="39" t="str">
        <f>IFERROR(IF(AND(G40&lt;&gt;"Operating Asset",G40&lt;&gt;"Operating Liability"),"Set the type so this account is included.",IF(ROUND(E40,0)=0,"No movement during the period.",IF(E40&gt;0,"Increased by "&amp;TEXT(E40,"$#,##0;($#,##0)")&amp;" — ","Decreased by "&amp;TEXT(-E40,"$#,##0;($#,##0)")&amp;" — ")&amp;IF(F40&lt;0,"used cash.","released cash."))),"")</f>
        <v>No movement during the period.</v>
      </c>
    </row>
    <row r="41" spans="2:8" ht="18" customHeight="1" x14ac:dyDescent="0.35">
      <c r="B41" s="93" t="s">
        <v>115</v>
      </c>
      <c r="C41" s="93"/>
      <c r="D41" s="93"/>
      <c r="E41" s="93"/>
      <c r="F41" s="93"/>
      <c r="G41" s="93"/>
      <c r="H41" s="93"/>
    </row>
    <row r="42" spans="2:8" ht="19.5" customHeight="1" x14ac:dyDescent="0.35">
      <c r="B42" s="34" t="s">
        <v>116</v>
      </c>
      <c r="C42" s="35">
        <v>196000</v>
      </c>
      <c r="D42" s="35">
        <v>241000</v>
      </c>
      <c r="E42" s="36">
        <f>IFERROR(D42-C42,0)</f>
        <v>45000</v>
      </c>
      <c r="F42" s="37">
        <f>IFERROR(IF(G42="Operating Liability",E42,IF(G42="Operating Asset",-E42,0)),0)</f>
        <v>45000</v>
      </c>
      <c r="G42" s="38" t="s">
        <v>117</v>
      </c>
      <c r="H42" s="39" t="str">
        <f>IFERROR(IF(AND(G42&lt;&gt;"Operating Asset",G42&lt;&gt;"Operating Liability"),"Set the type so this account is included.",IF(ROUND(E42,0)=0,"No movement during the period.",IF(E42&gt;0,"Increased by "&amp;TEXT(E42,"$#,##0;($#,##0)")&amp;" — ","Decreased by "&amp;TEXT(-E42,"$#,##0;($#,##0)")&amp;" — ")&amp;IF(F42&lt;0,"used cash.","released cash."))),"")</f>
        <v>Increased by $45,000 — released cash.</v>
      </c>
    </row>
    <row r="43" spans="2:8" ht="19.5" customHeight="1" x14ac:dyDescent="0.35">
      <c r="B43" s="34" t="s">
        <v>118</v>
      </c>
      <c r="C43" s="35">
        <v>48000</v>
      </c>
      <c r="D43" s="35">
        <v>54500</v>
      </c>
      <c r="E43" s="36">
        <f>IFERROR(D43-C43,0)</f>
        <v>6500</v>
      </c>
      <c r="F43" s="37">
        <f>IFERROR(IF(G43="Operating Liability",E43,IF(G43="Operating Asset",-E43,0)),0)</f>
        <v>6500</v>
      </c>
      <c r="G43" s="38" t="s">
        <v>117</v>
      </c>
      <c r="H43" s="39" t="str">
        <f>IFERROR(IF(AND(G43&lt;&gt;"Operating Asset",G43&lt;&gt;"Operating Liability"),"Set the type so this account is included.",IF(ROUND(E43,0)=0,"No movement during the period.",IF(E43&gt;0,"Increased by "&amp;TEXT(E43,"$#,##0;($#,##0)")&amp;" — ","Decreased by "&amp;TEXT(-E43,"$#,##0;($#,##0)")&amp;" — ")&amp;IF(F43&lt;0,"used cash.","released cash."))),"")</f>
        <v>Increased by $6,500 — released cash.</v>
      </c>
    </row>
    <row r="44" spans="2:8" ht="19.5" customHeight="1" x14ac:dyDescent="0.35">
      <c r="B44" s="34" t="s">
        <v>119</v>
      </c>
      <c r="C44" s="35">
        <v>61000</v>
      </c>
      <c r="D44" s="35">
        <v>57000</v>
      </c>
      <c r="E44" s="36">
        <f>IFERROR(D44-C44,0)</f>
        <v>-4000</v>
      </c>
      <c r="F44" s="37">
        <f>IFERROR(IF(G44="Operating Liability",E44,IF(G44="Operating Asset",-E44,0)),0)</f>
        <v>-4000</v>
      </c>
      <c r="G44" s="38" t="s">
        <v>117</v>
      </c>
      <c r="H44" s="39" t="str">
        <f>IFERROR(IF(AND(G44&lt;&gt;"Operating Asset",G44&lt;&gt;"Operating Liability"),"Set the type so this account is included.",IF(ROUND(E44,0)=0,"No movement during the period.",IF(E44&gt;0,"Increased by "&amp;TEXT(E44,"$#,##0;($#,##0)")&amp;" — ","Decreased by "&amp;TEXT(-E44,"$#,##0;($#,##0)")&amp;" — ")&amp;IF(F44&lt;0,"used cash.","released cash."))),"")</f>
        <v>Decreased by $4,000 — used cash.</v>
      </c>
    </row>
    <row r="45" spans="2:8" ht="19.5" customHeight="1" x14ac:dyDescent="0.35">
      <c r="B45" s="34" t="s">
        <v>120</v>
      </c>
      <c r="C45" s="35">
        <v>38000</v>
      </c>
      <c r="D45" s="35">
        <v>44200</v>
      </c>
      <c r="E45" s="36">
        <f>IFERROR(D45-C45,0)</f>
        <v>6200</v>
      </c>
      <c r="F45" s="37">
        <f>IFERROR(IF(G45="Operating Liability",E45,IF(G45="Operating Asset",-E45,0)),0)</f>
        <v>6200</v>
      </c>
      <c r="G45" s="38" t="s">
        <v>117</v>
      </c>
      <c r="H45" s="39" t="str">
        <f>IFERROR(IF(AND(G45&lt;&gt;"Operating Asset",G45&lt;&gt;"Operating Liability"),"Set the type so this account is included.",IF(ROUND(E45,0)=0,"No movement during the period.",IF(E45&gt;0,"Increased by "&amp;TEXT(E45,"$#,##0;($#,##0)")&amp;" — ","Decreased by "&amp;TEXT(-E45,"$#,##0;($#,##0)")&amp;" — ")&amp;IF(F45&lt;0,"used cash.","released cash."))),"")</f>
        <v>Increased by $6,200 — released cash.</v>
      </c>
    </row>
    <row r="46" spans="2:8" ht="19.5" customHeight="1" x14ac:dyDescent="0.35">
      <c r="B46" s="34" t="s">
        <v>121</v>
      </c>
      <c r="C46" s="35">
        <v>9000</v>
      </c>
      <c r="D46" s="35">
        <v>9000</v>
      </c>
      <c r="E46" s="36">
        <f>IFERROR(D46-C46,0)</f>
        <v>0</v>
      </c>
      <c r="F46" s="37">
        <f>IFERROR(IF(G46="Operating Liability",E46,IF(G46="Operating Asset",-E46,0)),0)</f>
        <v>0</v>
      </c>
      <c r="G46" s="38" t="s">
        <v>117</v>
      </c>
      <c r="H46" s="39" t="str">
        <f>IFERROR(IF(AND(G46&lt;&gt;"Operating Asset",G46&lt;&gt;"Operating Liability"),"Set the type so this account is included.",IF(ROUND(E46,0)=0,"No movement during the period.",IF(E46&gt;0,"Increased by "&amp;TEXT(E46,"$#,##0;($#,##0)")&amp;" — ","Decreased by "&amp;TEXT(-E46,"$#,##0;($#,##0)")&amp;" — ")&amp;IF(F46&lt;0,"used cash.","released cash."))),"")</f>
        <v>No movement during the period.</v>
      </c>
    </row>
    <row r="47" spans="2:8" ht="21.75" customHeight="1" x14ac:dyDescent="0.35">
      <c r="B47" s="40" t="s">
        <v>122</v>
      </c>
      <c r="C47" s="41"/>
      <c r="D47" s="41"/>
      <c r="E47" s="41"/>
      <c r="F47" s="42">
        <f>IFERROR(SUM(F37:F40)+SUM(F42:F46),0)</f>
        <v>-126800</v>
      </c>
      <c r="G47" s="41"/>
      <c r="H47" s="43"/>
    </row>
    <row r="49" spans="2:8" ht="19.5" customHeight="1" x14ac:dyDescent="0.35">
      <c r="B49" s="90" t="s">
        <v>123</v>
      </c>
      <c r="C49" s="90"/>
    </row>
    <row r="50" spans="2:8" ht="18" customHeight="1" x14ac:dyDescent="0.35">
      <c r="B50" s="18" t="s">
        <v>57</v>
      </c>
      <c r="C50" s="19" t="s">
        <v>124</v>
      </c>
      <c r="D50" s="18" t="s">
        <v>59</v>
      </c>
      <c r="E50" s="20"/>
      <c r="F50" s="20"/>
      <c r="G50" s="20"/>
      <c r="H50" s="20"/>
    </row>
    <row r="51" spans="2:8" ht="30" customHeight="1" x14ac:dyDescent="0.35">
      <c r="B51" s="21" t="s">
        <v>125</v>
      </c>
      <c r="C51" s="25">
        <v>118000</v>
      </c>
      <c r="D51" s="91" t="s">
        <v>126</v>
      </c>
      <c r="E51" s="91"/>
      <c r="F51" s="91"/>
      <c r="G51" s="91"/>
      <c r="H51" s="91"/>
    </row>
    <row r="52" spans="2:8" ht="21.75" customHeight="1" x14ac:dyDescent="0.35">
      <c r="B52" s="21" t="s">
        <v>127</v>
      </c>
      <c r="C52" s="25">
        <v>14000</v>
      </c>
      <c r="D52" s="91" t="s">
        <v>128</v>
      </c>
      <c r="E52" s="91"/>
      <c r="F52" s="91"/>
      <c r="G52" s="91"/>
      <c r="H52" s="91"/>
    </row>
    <row r="53" spans="2:8" ht="21.75" customHeight="1" x14ac:dyDescent="0.35">
      <c r="B53" s="21" t="s">
        <v>129</v>
      </c>
      <c r="C53" s="25">
        <v>95000</v>
      </c>
      <c r="D53" s="91" t="s">
        <v>130</v>
      </c>
      <c r="E53" s="91"/>
      <c r="F53" s="91"/>
      <c r="G53" s="91"/>
      <c r="H53" s="91"/>
    </row>
    <row r="54" spans="2:8" ht="30" customHeight="1" x14ac:dyDescent="0.35">
      <c r="B54" s="21" t="s">
        <v>131</v>
      </c>
      <c r="C54" s="25">
        <v>68400</v>
      </c>
      <c r="D54" s="91" t="s">
        <v>132</v>
      </c>
      <c r="E54" s="91"/>
      <c r="F54" s="91"/>
      <c r="G54" s="91"/>
      <c r="H54" s="91"/>
    </row>
    <row r="55" spans="2:8" ht="30" customHeight="1" x14ac:dyDescent="0.35">
      <c r="B55" s="21" t="s">
        <v>133</v>
      </c>
      <c r="C55" s="25">
        <v>0</v>
      </c>
      <c r="D55" s="91" t="s">
        <v>134</v>
      </c>
      <c r="E55" s="91"/>
      <c r="F55" s="91"/>
      <c r="G55" s="91"/>
      <c r="H55" s="91"/>
    </row>
    <row r="56" spans="2:8" ht="30" customHeight="1" x14ac:dyDescent="0.35">
      <c r="B56" s="21" t="s">
        <v>135</v>
      </c>
      <c r="C56" s="25">
        <v>42000</v>
      </c>
      <c r="D56" s="91" t="s">
        <v>136</v>
      </c>
      <c r="E56" s="91"/>
      <c r="F56" s="91"/>
      <c r="G56" s="91"/>
      <c r="H56" s="91"/>
    </row>
    <row r="57" spans="2:8" ht="21.75" customHeight="1" x14ac:dyDescent="0.35">
      <c r="B57" s="21" t="s">
        <v>137</v>
      </c>
      <c r="C57" s="25">
        <v>0</v>
      </c>
      <c r="D57" s="91" t="s">
        <v>138</v>
      </c>
      <c r="E57" s="91"/>
      <c r="F57" s="91"/>
      <c r="G57" s="91"/>
      <c r="H57" s="91"/>
    </row>
    <row r="58" spans="2:8" ht="21.75" customHeight="1" x14ac:dyDescent="0.35">
      <c r="B58" s="21" t="s">
        <v>139</v>
      </c>
      <c r="C58" s="25">
        <v>0</v>
      </c>
      <c r="D58" s="91" t="s">
        <v>140</v>
      </c>
      <c r="E58" s="91"/>
      <c r="F58" s="91"/>
      <c r="G58" s="91"/>
      <c r="H58" s="91"/>
    </row>
    <row r="59" spans="2:8" ht="21.75" customHeight="1" x14ac:dyDescent="0.35">
      <c r="B59" s="21" t="s">
        <v>141</v>
      </c>
      <c r="C59" s="25">
        <v>0</v>
      </c>
      <c r="E59" s="44" t="s">
        <v>142</v>
      </c>
      <c r="F59" s="94" t="s">
        <v>143</v>
      </c>
      <c r="G59" s="94"/>
      <c r="H59" s="94"/>
    </row>
    <row r="60" spans="2:8" ht="21.75" customHeight="1" x14ac:dyDescent="0.35">
      <c r="B60" s="21" t="s">
        <v>144</v>
      </c>
      <c r="C60" s="25">
        <v>0</v>
      </c>
      <c r="E60" s="44" t="s">
        <v>142</v>
      </c>
      <c r="F60" s="94" t="s">
        <v>145</v>
      </c>
      <c r="G60" s="94"/>
      <c r="H60" s="94"/>
    </row>
    <row r="62" spans="2:8" ht="19.5" customHeight="1" x14ac:dyDescent="0.35">
      <c r="B62" s="90" t="s">
        <v>146</v>
      </c>
      <c r="C62" s="90"/>
    </row>
    <row r="63" spans="2:8" ht="18" customHeight="1" x14ac:dyDescent="0.35">
      <c r="B63" s="18" t="s">
        <v>57</v>
      </c>
      <c r="C63" s="19" t="s">
        <v>124</v>
      </c>
      <c r="D63" s="18" t="s">
        <v>59</v>
      </c>
      <c r="E63" s="20"/>
      <c r="F63" s="20"/>
      <c r="G63" s="20"/>
      <c r="H63" s="20"/>
    </row>
    <row r="64" spans="2:8" ht="30" customHeight="1" x14ac:dyDescent="0.35">
      <c r="B64" s="21" t="s">
        <v>147</v>
      </c>
      <c r="C64" s="25">
        <v>8000</v>
      </c>
      <c r="D64" s="91" t="s">
        <v>148</v>
      </c>
      <c r="E64" s="91"/>
      <c r="F64" s="91"/>
      <c r="G64" s="91"/>
      <c r="H64" s="91"/>
    </row>
    <row r="65" spans="2:8" ht="30" customHeight="1" x14ac:dyDescent="0.35">
      <c r="B65" s="21" t="s">
        <v>149</v>
      </c>
      <c r="C65" s="25">
        <v>0</v>
      </c>
      <c r="D65" s="91" t="s">
        <v>150</v>
      </c>
      <c r="E65" s="91"/>
      <c r="F65" s="91"/>
      <c r="G65" s="91"/>
      <c r="H65" s="91"/>
    </row>
    <row r="66" spans="2:8" ht="21.75" customHeight="1" x14ac:dyDescent="0.35">
      <c r="B66" s="21" t="s">
        <v>151</v>
      </c>
      <c r="C66" s="94" t="s">
        <v>152</v>
      </c>
      <c r="D66" s="94"/>
      <c r="E66" s="94"/>
      <c r="F66" s="94"/>
      <c r="G66" s="94"/>
      <c r="H66" s="94"/>
    </row>
    <row r="68" spans="2:8" ht="18" customHeight="1" x14ac:dyDescent="0.35">
      <c r="B68" s="95" t="s">
        <v>153</v>
      </c>
      <c r="C68" s="95"/>
      <c r="D68" s="95"/>
      <c r="E68" s="95"/>
      <c r="F68" s="95"/>
      <c r="G68" s="95"/>
      <c r="H68" s="95"/>
    </row>
  </sheetData>
  <sheetProtection sheet="1" formatCells="0" sort="0" autoFilter="0"/>
  <mergeCells count="45">
    <mergeCell ref="B62:C62"/>
    <mergeCell ref="D64:H64"/>
    <mergeCell ref="D65:H65"/>
    <mergeCell ref="C66:H66"/>
    <mergeCell ref="B68:H68"/>
    <mergeCell ref="D56:H56"/>
    <mergeCell ref="D57:H57"/>
    <mergeCell ref="D58:H58"/>
    <mergeCell ref="F59:H59"/>
    <mergeCell ref="F60:H60"/>
    <mergeCell ref="D51:H51"/>
    <mergeCell ref="D52:H52"/>
    <mergeCell ref="D53:H53"/>
    <mergeCell ref="D54:H54"/>
    <mergeCell ref="D55:H55"/>
    <mergeCell ref="B33:H33"/>
    <mergeCell ref="B34:H34"/>
    <mergeCell ref="B36:H36"/>
    <mergeCell ref="B41:H41"/>
    <mergeCell ref="B49:C49"/>
    <mergeCell ref="D25:H25"/>
    <mergeCell ref="B27:C27"/>
    <mergeCell ref="D29:H29"/>
    <mergeCell ref="D30:H30"/>
    <mergeCell ref="D31:H31"/>
    <mergeCell ref="D20:H20"/>
    <mergeCell ref="D21:H21"/>
    <mergeCell ref="D22:H22"/>
    <mergeCell ref="D23:H23"/>
    <mergeCell ref="D24:H24"/>
    <mergeCell ref="B14:C14"/>
    <mergeCell ref="D16:H16"/>
    <mergeCell ref="D17:H17"/>
    <mergeCell ref="D18:H18"/>
    <mergeCell ref="D19:H19"/>
    <mergeCell ref="D8:H8"/>
    <mergeCell ref="D9:H9"/>
    <mergeCell ref="D10:H10"/>
    <mergeCell ref="D11:H11"/>
    <mergeCell ref="D12:H12"/>
    <mergeCell ref="B1:I1"/>
    <mergeCell ref="B2:E2"/>
    <mergeCell ref="F2:H2"/>
    <mergeCell ref="B3:H3"/>
    <mergeCell ref="B6:C6"/>
  </mergeCells>
  <dataValidations count="4">
    <dataValidation type="list" allowBlank="1" showErrorMessage="1" errorTitle="Account Type" error="Choose Operating Asset or Operating Liability." sqref="G37:G40 G42:G46" xr:uid="{00000000-0002-0000-0100-000000000000}">
      <formula1>"Operating Asset,Operating Liability"</formula1>
      <formula2>0</formula2>
    </dataValidation>
    <dataValidation type="date" showErrorMessage="1" errorTitle="Date" error="Enter a valid date." sqref="C10:C11" xr:uid="{00000000-0002-0000-0100-000001000000}">
      <formula1>DATE(1990,1,1)</formula1>
      <formula2>DATE(2060,12,31)</formula2>
    </dataValidation>
    <dataValidation type="whole" showErrorMessage="1" errorTitle="Months in Period" error="Enter a whole number of months between 1 and 60." sqref="C12" xr:uid="{00000000-0002-0000-0100-000002000000}">
      <formula1>1</formula1>
      <formula2>60</formula2>
    </dataValidation>
    <dataValidation type="decimal" showErrorMessage="1" errorTitle="Amount" error="Enter a number." sqref="C16:C23 C29:C30 C37:D40 C42:D46 C51:C60 C64:C65" xr:uid="{00000000-0002-0000-0100-000003000000}">
      <formula1>-1000000000</formula1>
      <formula2>1000000000</formula2>
    </dataValidation>
  </dataValidation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9"/>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6328125" defaultRowHeight="14.5" x14ac:dyDescent="0.35"/>
  <cols>
    <col min="1" max="1" width="3" customWidth="1"/>
    <col min="2" max="2" width="40" customWidth="1"/>
    <col min="3" max="4" width="17" customWidth="1"/>
    <col min="5" max="6" width="16" customWidth="1"/>
    <col min="7" max="7" width="21" customWidth="1"/>
    <col min="8" max="8" width="66" customWidth="1"/>
    <col min="9" max="9" width="3" customWidth="1"/>
    <col min="25" max="26" width="9" customWidth="1"/>
  </cols>
  <sheetData>
    <row r="1" spans="1:26" ht="13.5" customHeight="1" x14ac:dyDescent="0.35">
      <c r="A1" s="15"/>
      <c r="B1" s="86" t="s">
        <v>0</v>
      </c>
      <c r="C1" s="86"/>
      <c r="D1" s="86"/>
      <c r="E1" s="86"/>
      <c r="F1" s="86"/>
      <c r="G1" s="86"/>
      <c r="H1" s="86"/>
      <c r="I1" s="86"/>
    </row>
    <row r="2" spans="1:26" ht="27.75" customHeight="1" x14ac:dyDescent="0.35">
      <c r="A2" s="15"/>
      <c r="B2" s="87" t="s">
        <v>154</v>
      </c>
      <c r="C2" s="87"/>
      <c r="D2" s="87"/>
      <c r="E2" s="87"/>
      <c r="F2" s="88" t="str">
        <f>IFERROR('FINANCIAL INPUTS'!$C$9&amp;"     ·     FICTIONAL EXAMPLE DATA","")</f>
        <v>Year ended June 30, 2026     ·     FICTIONAL EXAMPLE DATA</v>
      </c>
      <c r="G2" s="88"/>
      <c r="H2" s="88"/>
      <c r="I2" s="15"/>
    </row>
    <row r="3" spans="1:26" ht="15.75" customHeight="1" x14ac:dyDescent="0.35">
      <c r="A3" s="15"/>
      <c r="B3" s="89" t="s">
        <v>155</v>
      </c>
      <c r="C3" s="89"/>
      <c r="D3" s="89"/>
      <c r="E3" s="89"/>
      <c r="F3" s="89"/>
      <c r="G3" s="89"/>
      <c r="H3" s="89"/>
      <c r="I3" s="15"/>
    </row>
    <row r="4" spans="1:26" ht="7.5" customHeight="1" x14ac:dyDescent="0.35">
      <c r="A4" s="15"/>
      <c r="B4" s="15"/>
      <c r="C4" s="15"/>
      <c r="D4" s="15"/>
      <c r="E4" s="15"/>
      <c r="F4" s="15"/>
      <c r="G4" s="15"/>
      <c r="H4" s="15"/>
      <c r="I4" s="15"/>
    </row>
    <row r="5" spans="1:26" ht="7.5" customHeight="1" x14ac:dyDescent="0.35"/>
    <row r="6" spans="1:26" ht="19.5" customHeight="1" x14ac:dyDescent="0.35">
      <c r="B6" s="96" t="s">
        <v>156</v>
      </c>
      <c r="C6" s="96"/>
      <c r="D6" s="96"/>
      <c r="E6" s="96"/>
      <c r="F6" s="96"/>
      <c r="G6" s="96"/>
      <c r="H6" s="96"/>
    </row>
    <row r="7" spans="1:26" ht="31.5" customHeight="1" x14ac:dyDescent="0.35">
      <c r="B7" s="31" t="s">
        <v>157</v>
      </c>
      <c r="C7" s="32" t="s">
        <v>103</v>
      </c>
      <c r="D7" s="32" t="s">
        <v>104</v>
      </c>
      <c r="E7" s="32" t="s">
        <v>158</v>
      </c>
      <c r="F7" s="32" t="s">
        <v>106</v>
      </c>
      <c r="G7" s="33" t="s">
        <v>159</v>
      </c>
      <c r="H7" s="31" t="s">
        <v>108</v>
      </c>
    </row>
    <row r="8" spans="1:26" ht="30" customHeight="1" x14ac:dyDescent="0.35">
      <c r="B8" s="34" t="s">
        <v>110</v>
      </c>
      <c r="C8" s="36">
        <f>IFERROR('FINANCIAL INPUTS'!C37,0)</f>
        <v>384000</v>
      </c>
      <c r="D8" s="36">
        <f>IFERROR('FINANCIAL INPUTS'!D37,0)</f>
        <v>542000</v>
      </c>
      <c r="E8" s="36">
        <f>IFERROR('FINANCIAL INPUTS'!E37,0)</f>
        <v>158000</v>
      </c>
      <c r="F8" s="37">
        <f>IFERROR('FINANCIAL INPUTS'!F37,0)</f>
        <v>-158000</v>
      </c>
      <c r="G8" s="45" t="str">
        <f t="shared" ref="G8:G16" si="0">IFERROR(IF(ROUND(F8,0)=0,"No cash impact",IF(F8&gt;0,"Source of cash","Use of cash")),"No cash impact")</f>
        <v>Use of cash</v>
      </c>
      <c r="H8" s="46" t="str">
        <f>IFERROR(IF(AND('FINANCIAL INPUTS'!G37&lt;&gt;"Operating Asset",'FINANCIAL INPUTS'!G37&lt;&gt;"Operating Liability"),"This account has no type set on the FINANCIAL INPUTS tab, so it is not included in the cash impact.",IF(ROUND(E8,0)=0,"No movement in this balance during the period.",IF(E8&gt;0,"Accounts receivable increased during the period, meaning more revenue remained uncollected and cash was tied up in customer balances.","Accounts receivable decreased during the period, meaning collections released cash from customer balances."))),"")</f>
        <v>Accounts receivable increased during the period, meaning more revenue remained uncollected and cash was tied up in customer balances.</v>
      </c>
      <c r="Y8" s="47">
        <f t="shared" ref="Y8:Y16" si="1">IFERROR(F8-ROW()/100000,0)</f>
        <v>-158000.00008</v>
      </c>
      <c r="Z8" s="47">
        <f t="shared" ref="Z8:Z16" si="2">IFERROR(-F8-ROW()/100000,0)</f>
        <v>157999.99992</v>
      </c>
    </row>
    <row r="9" spans="1:26" ht="30" customHeight="1" x14ac:dyDescent="0.35">
      <c r="B9" s="34" t="s">
        <v>112</v>
      </c>
      <c r="C9" s="36">
        <f>IFERROR('FINANCIAL INPUTS'!C38,0)</f>
        <v>142000</v>
      </c>
      <c r="D9" s="36">
        <f>IFERROR('FINANCIAL INPUTS'!D38,0)</f>
        <v>168000</v>
      </c>
      <c r="E9" s="36">
        <f>IFERROR('FINANCIAL INPUTS'!E38,0)</f>
        <v>26000</v>
      </c>
      <c r="F9" s="37">
        <f>IFERROR('FINANCIAL INPUTS'!F38,0)</f>
        <v>-26000</v>
      </c>
      <c r="G9" s="45" t="str">
        <f t="shared" si="0"/>
        <v>Use of cash</v>
      </c>
      <c r="H9" s="46" t="str">
        <f>IFERROR(IF(AND('FINANCIAL INPUTS'!G38&lt;&gt;"Operating Asset",'FINANCIAL INPUTS'!G38&lt;&gt;"Operating Liability"),"This account has no type set on the FINANCIAL INPUTS tab, so it is not included in the cash impact.",IF(ROUND(E9,0)=0,"No movement in this balance during the period.",IF(E9&gt;0,"Inventory increased, absorbing cash during the period.","Inventory decreased, releasing cash that had been held in stock."))),"")</f>
        <v>Inventory increased, absorbing cash during the period.</v>
      </c>
      <c r="Y9" s="47">
        <f t="shared" si="1"/>
        <v>-26000.000090000001</v>
      </c>
      <c r="Z9" s="47">
        <f t="shared" si="2"/>
        <v>25999.999909999999</v>
      </c>
    </row>
    <row r="10" spans="1:26" ht="30" customHeight="1" x14ac:dyDescent="0.35">
      <c r="B10" s="34" t="s">
        <v>113</v>
      </c>
      <c r="C10" s="36">
        <f>IFERROR('FINANCIAL INPUTS'!C39,0)</f>
        <v>31000</v>
      </c>
      <c r="D10" s="36">
        <f>IFERROR('FINANCIAL INPUTS'!D39,0)</f>
        <v>27500</v>
      </c>
      <c r="E10" s="36">
        <f>IFERROR('FINANCIAL INPUTS'!E39,0)</f>
        <v>-3500</v>
      </c>
      <c r="F10" s="37">
        <f>IFERROR('FINANCIAL INPUTS'!F39,0)</f>
        <v>3500</v>
      </c>
      <c r="G10" s="45" t="str">
        <f t="shared" si="0"/>
        <v>Source of cash</v>
      </c>
      <c r="H10" s="46" t="str">
        <f>IFERROR(IF(AND('FINANCIAL INPUTS'!G39&lt;&gt;"Operating Asset",'FINANCIAL INPUTS'!G39&lt;&gt;"Operating Liability"),"This account has no type set on the FINANCIAL INPUTS tab, so it is not included in the cash impact.",IF(ROUND(E10,0)=0,"No movement in this balance during the period.",IF(E10&gt;0,"Prepaid expenses increased, meaning cash was paid in advance of the related cost.","Prepaid expenses decreased as previously paid amounts were used up during the period."))),"")</f>
        <v>Prepaid expenses decreased as previously paid amounts were used up during the period.</v>
      </c>
      <c r="Y10" s="47">
        <f t="shared" si="1"/>
        <v>3499.9998999999998</v>
      </c>
      <c r="Z10" s="47">
        <f t="shared" si="2"/>
        <v>-3500.0001000000002</v>
      </c>
    </row>
    <row r="11" spans="1:26" ht="30" customHeight="1" x14ac:dyDescent="0.35">
      <c r="B11" s="34" t="s">
        <v>114</v>
      </c>
      <c r="C11" s="36">
        <f>IFERROR('FINANCIAL INPUTS'!C40,0)</f>
        <v>12000</v>
      </c>
      <c r="D11" s="36">
        <f>IFERROR('FINANCIAL INPUTS'!D40,0)</f>
        <v>12000</v>
      </c>
      <c r="E11" s="36">
        <f>IFERROR('FINANCIAL INPUTS'!E40,0)</f>
        <v>0</v>
      </c>
      <c r="F11" s="37">
        <f>IFERROR('FINANCIAL INPUTS'!F40,0)</f>
        <v>0</v>
      </c>
      <c r="G11" s="45" t="str">
        <f t="shared" si="0"/>
        <v>No cash impact</v>
      </c>
      <c r="H11" s="46" t="str">
        <f>IFERROR(IF(AND('FINANCIAL INPUTS'!G40&lt;&gt;"Operating Asset",'FINANCIAL INPUTS'!G40&lt;&gt;"Operating Liability"),"This account has no type set on the FINANCIAL INPUTS tab, so it is not included in the cash impact.",IF(ROUND(E11,0)=0,"No movement in this balance during the period.",IF(E11&gt;0,"Other operating current assets increased, absorbing cash during the period.","Other operating current assets decreased, releasing cash during the period."))),"")</f>
        <v>No movement in this balance during the period.</v>
      </c>
      <c r="Y11" s="47">
        <f t="shared" si="1"/>
        <v>-1.1E-4</v>
      </c>
      <c r="Z11" s="47">
        <f t="shared" si="2"/>
        <v>-1.1E-4</v>
      </c>
    </row>
    <row r="12" spans="1:26" ht="30" customHeight="1" x14ac:dyDescent="0.35">
      <c r="B12" s="34" t="s">
        <v>116</v>
      </c>
      <c r="C12" s="36">
        <f>IFERROR('FINANCIAL INPUTS'!C42,0)</f>
        <v>196000</v>
      </c>
      <c r="D12" s="36">
        <f>IFERROR('FINANCIAL INPUTS'!D42,0)</f>
        <v>241000</v>
      </c>
      <c r="E12" s="36">
        <f>IFERROR('FINANCIAL INPUTS'!E42,0)</f>
        <v>45000</v>
      </c>
      <c r="F12" s="37">
        <f>IFERROR('FINANCIAL INPUTS'!F42,0)</f>
        <v>45000</v>
      </c>
      <c r="G12" s="45" t="str">
        <f t="shared" si="0"/>
        <v>Source of cash</v>
      </c>
      <c r="H12" s="46" t="str">
        <f>IFERROR(IF(AND('FINANCIAL INPUTS'!G42&lt;&gt;"Operating Asset",'FINANCIAL INPUTS'!G42&lt;&gt;"Operating Liability"),"This account has no type set on the FINANCIAL INPUTS tab, so it is not included in the cash impact.",IF(ROUND(E12,0)=0,"No movement in this balance during the period.",IF(E12&gt;0,"Accounts payable increased, temporarily preserving cash by increasing amounts owed to suppliers.","Accounts payable decreased, using cash to reduce supplier balances."))),"")</f>
        <v>Accounts payable increased, temporarily preserving cash by increasing amounts owed to suppliers.</v>
      </c>
      <c r="Y12" s="47">
        <f t="shared" si="1"/>
        <v>44999.999880000003</v>
      </c>
      <c r="Z12" s="47">
        <f t="shared" si="2"/>
        <v>-45000.000119999997</v>
      </c>
    </row>
    <row r="13" spans="1:26" ht="30" customHeight="1" x14ac:dyDescent="0.35">
      <c r="B13" s="34" t="s">
        <v>118</v>
      </c>
      <c r="C13" s="36">
        <f>IFERROR('FINANCIAL INPUTS'!C43,0)</f>
        <v>48000</v>
      </c>
      <c r="D13" s="36">
        <f>IFERROR('FINANCIAL INPUTS'!D43,0)</f>
        <v>54500</v>
      </c>
      <c r="E13" s="36">
        <f>IFERROR('FINANCIAL INPUTS'!E43,0)</f>
        <v>6500</v>
      </c>
      <c r="F13" s="37">
        <f>IFERROR('FINANCIAL INPUTS'!F43,0)</f>
        <v>6500</v>
      </c>
      <c r="G13" s="45" t="str">
        <f t="shared" si="0"/>
        <v>Source of cash</v>
      </c>
      <c r="H13" s="46" t="str">
        <f>IFERROR(IF(AND('FINANCIAL INPUTS'!G43&lt;&gt;"Operating Asset",'FINANCIAL INPUTS'!G43&lt;&gt;"Operating Liability"),"This account has no type set on the FINANCIAL INPUTS tab, so it is not included in the cash impact.",IF(ROUND(E13,0)=0,"No movement in this balance during the period.",IF(E13&gt;0,"Accrued expenses increased, meaning costs were recorded ahead of being paid in cash.","Accrued expenses decreased as previously accrued costs were settled in cash."))),"")</f>
        <v>Accrued expenses increased, meaning costs were recorded ahead of being paid in cash.</v>
      </c>
      <c r="Y13" s="47">
        <f t="shared" si="1"/>
        <v>6499.9998699999996</v>
      </c>
      <c r="Z13" s="47">
        <f t="shared" si="2"/>
        <v>-6500.0001300000004</v>
      </c>
    </row>
    <row r="14" spans="1:26" ht="30" customHeight="1" x14ac:dyDescent="0.35">
      <c r="B14" s="34" t="s">
        <v>119</v>
      </c>
      <c r="C14" s="36">
        <f>IFERROR('FINANCIAL INPUTS'!C44,0)</f>
        <v>61000</v>
      </c>
      <c r="D14" s="36">
        <f>IFERROR('FINANCIAL INPUTS'!D44,0)</f>
        <v>57000</v>
      </c>
      <c r="E14" s="36">
        <f>IFERROR('FINANCIAL INPUTS'!E44,0)</f>
        <v>-4000</v>
      </c>
      <c r="F14" s="37">
        <f>IFERROR('FINANCIAL INPUTS'!F44,0)</f>
        <v>-4000</v>
      </c>
      <c r="G14" s="45" t="str">
        <f t="shared" si="0"/>
        <v>Use of cash</v>
      </c>
      <c r="H14" s="46" t="str">
        <f>IFERROR(IF(AND('FINANCIAL INPUTS'!G44&lt;&gt;"Operating Asset",'FINANCIAL INPUTS'!G44&lt;&gt;"Operating Liability"),"This account has no type set on the FINANCIAL INPUTS tab, so it is not included in the cash impact.",IF(ROUND(E14,0)=0,"No movement in this balance during the period.",IF(E14&gt;0,"Payroll liabilities increased, meaning payroll-related amounts owed had not yet been remitted at period end.","Payroll liabilities decreased, using cash to settle amounts owed."))),"")</f>
        <v>Payroll liabilities decreased, using cash to settle amounts owed.</v>
      </c>
      <c r="Y14" s="47">
        <f t="shared" si="1"/>
        <v>-4000.0001400000001</v>
      </c>
      <c r="Z14" s="47">
        <f t="shared" si="2"/>
        <v>3999.9998599999999</v>
      </c>
    </row>
    <row r="15" spans="1:26" ht="30" customHeight="1" x14ac:dyDescent="0.35">
      <c r="B15" s="34" t="s">
        <v>120</v>
      </c>
      <c r="C15" s="36">
        <f>IFERROR('FINANCIAL INPUTS'!C45,0)</f>
        <v>38000</v>
      </c>
      <c r="D15" s="36">
        <f>IFERROR('FINANCIAL INPUTS'!D45,0)</f>
        <v>44200</v>
      </c>
      <c r="E15" s="36">
        <f>IFERROR('FINANCIAL INPUTS'!E45,0)</f>
        <v>6200</v>
      </c>
      <c r="F15" s="37">
        <f>IFERROR('FINANCIAL INPUTS'!F45,0)</f>
        <v>6200</v>
      </c>
      <c r="G15" s="45" t="str">
        <f t="shared" si="0"/>
        <v>Source of cash</v>
      </c>
      <c r="H15" s="46" t="str">
        <f>IFERROR(IF(AND('FINANCIAL INPUTS'!G45&lt;&gt;"Operating Asset",'FINANCIAL INPUTS'!G45&lt;&gt;"Operating Liability"),"This account has no type set on the FINANCIAL INPUTS tab, so it is not included in the cash impact.",IF(ROUND(E15,0)=0,"No movement in this balance during the period.",IF(E15&gt;0,"The sales tax balance increased, meaning more was owed or less was recoverable at period end than at the start.","The sales tax balance decreased, meaning less was owed or more was recoverable at period end than at the start."))),"")</f>
        <v>The sales tax balance increased, meaning more was owed or less was recoverable at period end than at the start.</v>
      </c>
      <c r="Y15" s="47">
        <f t="shared" si="1"/>
        <v>6199.9998500000002</v>
      </c>
      <c r="Z15" s="47">
        <f t="shared" si="2"/>
        <v>-6200.0001499999998</v>
      </c>
    </row>
    <row r="16" spans="1:26" ht="30" customHeight="1" x14ac:dyDescent="0.35">
      <c r="B16" s="34" t="s">
        <v>121</v>
      </c>
      <c r="C16" s="36">
        <f>IFERROR('FINANCIAL INPUTS'!C46,0)</f>
        <v>9000</v>
      </c>
      <c r="D16" s="36">
        <f>IFERROR('FINANCIAL INPUTS'!D46,0)</f>
        <v>9000</v>
      </c>
      <c r="E16" s="36">
        <f>IFERROR('FINANCIAL INPUTS'!E46,0)</f>
        <v>0</v>
      </c>
      <c r="F16" s="37">
        <f>IFERROR('FINANCIAL INPUTS'!F46,0)</f>
        <v>0</v>
      </c>
      <c r="G16" s="45" t="str">
        <f t="shared" si="0"/>
        <v>No cash impact</v>
      </c>
      <c r="H16" s="46" t="str">
        <f>IFERROR(IF(AND('FINANCIAL INPUTS'!G46&lt;&gt;"Operating Asset",'FINANCIAL INPUTS'!G46&lt;&gt;"Operating Liability"),"This account has no type set on the FINANCIAL INPUTS tab, so it is not included in the cash impact.",IF(ROUND(E16,0)=0,"No movement in this balance during the period.",IF(E16&gt;0,"Other operating current liabilities increased, preserving cash during the period.","Other operating current liabilities decreased, using cash during the period."))),"")</f>
        <v>No movement in this balance during the period.</v>
      </c>
      <c r="Y16" s="47">
        <f t="shared" si="1"/>
        <v>-1.6000000000000001E-4</v>
      </c>
      <c r="Z16" s="47">
        <f t="shared" si="2"/>
        <v>-1.6000000000000001E-4</v>
      </c>
    </row>
    <row r="17" spans="2:8" ht="24" customHeight="1" x14ac:dyDescent="0.35">
      <c r="B17" s="48" t="s">
        <v>160</v>
      </c>
      <c r="C17" s="42"/>
      <c r="D17" s="42"/>
      <c r="E17" s="42"/>
      <c r="F17" s="42">
        <f>IFERROR(SUM(F8:F16),0)</f>
        <v>-126800</v>
      </c>
      <c r="G17" s="97" t="str">
        <f>IFERROR(IF(ROUND(F17,0)=0,"Working capital was cash neutral over the period.",IF(F17&gt;0,"Working capital released cash over the period.","Working capital absorbed cash over the period.")),"")</f>
        <v>Working capital absorbed cash over the period.</v>
      </c>
      <c r="H17" s="97"/>
    </row>
    <row r="19" spans="2:8" ht="19.5" customHeight="1" x14ac:dyDescent="0.35">
      <c r="B19" s="98" t="s">
        <v>161</v>
      </c>
      <c r="C19" s="98"/>
      <c r="D19" s="98"/>
      <c r="E19" s="98"/>
      <c r="G19" s="98" t="s">
        <v>162</v>
      </c>
      <c r="H19" s="98"/>
    </row>
    <row r="20" spans="2:8" ht="19.5" customHeight="1" x14ac:dyDescent="0.35">
      <c r="B20" s="49" t="s">
        <v>163</v>
      </c>
      <c r="C20" s="50">
        <f>IFERROR(SUM($C$8:$C$11)-SUM($C$12:$C$16),0)</f>
        <v>217000</v>
      </c>
      <c r="D20" s="99"/>
      <c r="E20" s="99"/>
      <c r="G20" s="100" t="s">
        <v>164</v>
      </c>
      <c r="H20" s="100"/>
    </row>
    <row r="21" spans="2:8" ht="19.5" customHeight="1" x14ac:dyDescent="0.35">
      <c r="B21" s="49" t="s">
        <v>165</v>
      </c>
      <c r="C21" s="50">
        <f>IFERROR(SUM($D$8:$D$11)-SUM($D$12:$D$16),0)</f>
        <v>343800</v>
      </c>
      <c r="D21" s="99"/>
      <c r="E21" s="99"/>
      <c r="G21" s="100"/>
      <c r="H21" s="100"/>
    </row>
    <row r="22" spans="2:8" ht="19.5" customHeight="1" x14ac:dyDescent="0.35">
      <c r="B22" s="49" t="s">
        <v>166</v>
      </c>
      <c r="C22" s="50">
        <f>IFERROR(C21-C20,0)</f>
        <v>126800</v>
      </c>
      <c r="D22" s="99"/>
      <c r="E22" s="99"/>
      <c r="G22" s="100"/>
      <c r="H22" s="100"/>
    </row>
    <row r="23" spans="2:8" ht="19.5" customHeight="1" x14ac:dyDescent="0.35">
      <c r="B23" s="51" t="s">
        <v>167</v>
      </c>
      <c r="C23" s="52">
        <f>IFERROR(SUM($F$8:$F$16),0)</f>
        <v>-126800</v>
      </c>
      <c r="D23" s="101"/>
      <c r="E23" s="101"/>
      <c r="G23" s="100"/>
      <c r="H23" s="100"/>
    </row>
    <row r="24" spans="2:8" ht="19.5" customHeight="1" x14ac:dyDescent="0.35">
      <c r="B24" s="49" t="s">
        <v>168</v>
      </c>
      <c r="C24" s="50">
        <f>IFERROR(SUMIF($F$8:$F$16,"&gt;0"),0)</f>
        <v>61200</v>
      </c>
      <c r="D24" s="99"/>
      <c r="E24" s="99"/>
      <c r="G24" s="100"/>
      <c r="H24" s="100"/>
    </row>
    <row r="25" spans="2:8" ht="19.5" customHeight="1" x14ac:dyDescent="0.35">
      <c r="B25" s="49" t="s">
        <v>169</v>
      </c>
      <c r="C25" s="50">
        <f>IFERROR(ABS(SUMIF($F$8:$F$16,"&lt;0")),0)</f>
        <v>188000</v>
      </c>
      <c r="D25" s="99"/>
      <c r="E25" s="99"/>
      <c r="G25" s="100"/>
      <c r="H25" s="100"/>
    </row>
    <row r="26" spans="2:8" ht="19.5" customHeight="1" x14ac:dyDescent="0.35">
      <c r="B26" s="49" t="s">
        <v>170</v>
      </c>
      <c r="C26" s="102" t="str">
        <f>IFERROR(IF(COUNTIF($F$8:$F$16,"&gt;0")=0,"none",INDEX($B$8:$B$16,MATCH(MAX($Y$8:$Y$16),$Y$8:$Y$16,0))&amp;" ("&amp;TEXT(ABS(INDEX($F$8:$F$16,MATCH(MAX($Y$8:$Y$16),$Y$8:$Y$16,0))),"$#,##0")&amp;")"),"none")</f>
        <v>Accounts Payable ($45,000)</v>
      </c>
      <c r="D26" s="102"/>
      <c r="E26" s="102"/>
      <c r="G26" s="100"/>
      <c r="H26" s="100"/>
    </row>
    <row r="27" spans="2:8" ht="19.5" customHeight="1" x14ac:dyDescent="0.35">
      <c r="B27" s="49" t="s">
        <v>171</v>
      </c>
      <c r="C27" s="102" t="str">
        <f>IFERROR(IF(COUNTIF($F$8:$F$16,"&lt;0")=0,"none",INDEX($B$8:$B$16,MATCH(MAX($Z$8:$Z$16),$Z$8:$Z$16,0))&amp;" ("&amp;TEXT(ABS(INDEX($F$8:$F$16,MATCH(MAX($Z$8:$Z$16),$Z$8:$Z$16,0))),"$#,##0")&amp;")"),"none")</f>
        <v>Accounts Receivable ($158,000)</v>
      </c>
      <c r="D27" s="102"/>
      <c r="E27" s="102"/>
      <c r="G27" s="100"/>
      <c r="H27" s="100"/>
    </row>
    <row r="29" spans="2:8" ht="18" customHeight="1" x14ac:dyDescent="0.35">
      <c r="B29" s="95" t="s">
        <v>172</v>
      </c>
      <c r="C29" s="95"/>
      <c r="D29" s="95"/>
      <c r="E29" s="95"/>
      <c r="F29" s="95"/>
      <c r="G29" s="95"/>
      <c r="H29" s="95"/>
    </row>
  </sheetData>
  <sheetProtection sheet="1" formatCells="0" sort="0" autoFilter="0"/>
  <mergeCells count="18">
    <mergeCell ref="B29:H29"/>
    <mergeCell ref="G17:H17"/>
    <mergeCell ref="B19:E19"/>
    <mergeCell ref="G19:H19"/>
    <mergeCell ref="D20:E20"/>
    <mergeCell ref="G20:H27"/>
    <mergeCell ref="D21:E21"/>
    <mergeCell ref="D22:E22"/>
    <mergeCell ref="D23:E23"/>
    <mergeCell ref="D24:E24"/>
    <mergeCell ref="D25:E25"/>
    <mergeCell ref="C26:E26"/>
    <mergeCell ref="C27:E27"/>
    <mergeCell ref="B1:I1"/>
    <mergeCell ref="B2:E2"/>
    <mergeCell ref="F2:H2"/>
    <mergeCell ref="B3:H3"/>
    <mergeCell ref="B6:H6"/>
  </mergeCell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65"/>
  <sheetViews>
    <sheetView showGridLines="0" zoomScaleNormal="100" workbookViewId="0">
      <selection activeCell="H31" sqref="H31"/>
    </sheetView>
  </sheetViews>
  <sheetFormatPr defaultColWidth="8.6328125" defaultRowHeight="14.5" x14ac:dyDescent="0.35"/>
  <cols>
    <col min="1" max="1" width="3" customWidth="1"/>
    <col min="2" max="2" width="52" customWidth="1"/>
    <col min="3" max="3" width="19" customWidth="1"/>
    <col min="4" max="4" width="4" customWidth="1"/>
    <col min="5" max="8" width="20" customWidth="1"/>
    <col min="9" max="9" width="3" customWidth="1"/>
    <col min="25" max="25" width="20" customWidth="1"/>
    <col min="26" max="26" width="12" customWidth="1"/>
  </cols>
  <sheetData>
    <row r="1" spans="1:26" ht="13.5" customHeight="1" x14ac:dyDescent="0.35">
      <c r="A1" s="15"/>
      <c r="B1" s="86" t="s">
        <v>0</v>
      </c>
      <c r="C1" s="86"/>
      <c r="D1" s="86"/>
      <c r="E1" s="86"/>
      <c r="F1" s="86"/>
      <c r="G1" s="86"/>
      <c r="H1" s="86"/>
      <c r="I1" s="86"/>
    </row>
    <row r="2" spans="1:26" ht="27.75" customHeight="1" x14ac:dyDescent="0.35">
      <c r="A2" s="15"/>
      <c r="B2" s="87" t="s">
        <v>173</v>
      </c>
      <c r="C2" s="87"/>
      <c r="D2" s="87"/>
      <c r="E2" s="88" t="str">
        <f>IFERROR('FINANCIAL INPUTS'!$C$9&amp;"     ·     FICTIONAL EXAMPLE DATA","")</f>
        <v>Year ended June 30, 2026     ·     FICTIONAL EXAMPLE DATA</v>
      </c>
      <c r="F2" s="88"/>
      <c r="G2" s="88"/>
      <c r="H2" s="88"/>
      <c r="I2" s="15"/>
    </row>
    <row r="3" spans="1:26" ht="15.75" customHeight="1" x14ac:dyDescent="0.35">
      <c r="A3" s="15"/>
      <c r="B3" s="89" t="s">
        <v>174</v>
      </c>
      <c r="C3" s="89"/>
      <c r="D3" s="89"/>
      <c r="E3" s="89"/>
      <c r="F3" s="89"/>
      <c r="G3" s="89"/>
      <c r="H3" s="89"/>
      <c r="I3" s="15"/>
    </row>
    <row r="4" spans="1:26" ht="7.5" customHeight="1" x14ac:dyDescent="0.35">
      <c r="A4" s="15"/>
      <c r="B4" s="15"/>
      <c r="C4" s="15"/>
      <c r="D4" s="15"/>
      <c r="E4" s="15"/>
      <c r="F4" s="15"/>
      <c r="G4" s="15"/>
      <c r="H4" s="15"/>
      <c r="I4" s="15"/>
    </row>
    <row r="5" spans="1:26" ht="7.5" customHeight="1" x14ac:dyDescent="0.35"/>
    <row r="6" spans="1:26" ht="19.5" customHeight="1" x14ac:dyDescent="0.35">
      <c r="B6" s="96" t="s">
        <v>175</v>
      </c>
      <c r="C6" s="96"/>
      <c r="E6" s="96" t="s">
        <v>176</v>
      </c>
      <c r="F6" s="96"/>
      <c r="G6" s="96"/>
      <c r="H6" s="96"/>
      <c r="Y6" s="53" t="s">
        <v>177</v>
      </c>
      <c r="Z6" s="54">
        <f>IFERROR(C7,0)</f>
        <v>93400</v>
      </c>
    </row>
    <row r="7" spans="1:26" ht="21.75" customHeight="1" x14ac:dyDescent="0.35">
      <c r="B7" s="40" t="s">
        <v>178</v>
      </c>
      <c r="C7" s="55">
        <f>IFERROR('FINANCIAL INPUTS'!$C$23,0)</f>
        <v>93400</v>
      </c>
      <c r="E7" s="103" t="s">
        <v>179</v>
      </c>
      <c r="F7" s="103"/>
      <c r="G7" s="104">
        <v>500</v>
      </c>
      <c r="H7" s="104"/>
      <c r="Y7" s="53" t="s">
        <v>180</v>
      </c>
      <c r="Z7" s="54">
        <f>IFERROR(C9+C10+C11,0)</f>
        <v>94000</v>
      </c>
    </row>
    <row r="8" spans="1:26" ht="15" customHeight="1" x14ac:dyDescent="0.35">
      <c r="B8" s="93" t="s">
        <v>181</v>
      </c>
      <c r="C8" s="93"/>
      <c r="E8" s="105" t="s">
        <v>182</v>
      </c>
      <c r="F8" s="105"/>
      <c r="G8" s="105"/>
      <c r="H8" s="105"/>
      <c r="Y8" s="53" t="s">
        <v>154</v>
      </c>
      <c r="Z8" s="54">
        <f>IFERROR(SUM(C14:C22),0)</f>
        <v>-126800</v>
      </c>
    </row>
    <row r="9" spans="1:26" ht="21.75" customHeight="1" x14ac:dyDescent="0.35">
      <c r="B9" s="56" t="s">
        <v>81</v>
      </c>
      <c r="C9" s="36">
        <f>IFERROR('FINANCIAL INPUTS'!$C$20,0)</f>
        <v>86000</v>
      </c>
      <c r="E9" s="105"/>
      <c r="F9" s="105"/>
      <c r="G9" s="105"/>
      <c r="H9" s="105"/>
      <c r="Y9" s="53" t="s">
        <v>183</v>
      </c>
      <c r="Z9" s="54">
        <f>IFERROR(C29,0)</f>
        <v>-104000</v>
      </c>
    </row>
    <row r="10" spans="1:26" ht="18" customHeight="1" x14ac:dyDescent="0.35">
      <c r="B10" s="56" t="s">
        <v>147</v>
      </c>
      <c r="C10" s="36">
        <f>IFERROR('FINANCIAL INPUTS'!$C$64,0)</f>
        <v>8000</v>
      </c>
      <c r="Y10" s="53" t="s">
        <v>184</v>
      </c>
      <c r="Z10" s="54">
        <f>IFERROR(C35,0)</f>
        <v>-15400</v>
      </c>
    </row>
    <row r="11" spans="1:26" ht="15.75" customHeight="1" x14ac:dyDescent="0.35">
      <c r="B11" s="56" t="s">
        <v>149</v>
      </c>
      <c r="C11" s="36">
        <f>IFERROR(-'FINANCIAL INPUTS'!$C$65,0)</f>
        <v>0</v>
      </c>
      <c r="E11" s="106" t="s">
        <v>185</v>
      </c>
      <c r="F11" s="106"/>
      <c r="G11" s="106"/>
      <c r="H11" s="106"/>
      <c r="Y11" s="53" t="s">
        <v>186</v>
      </c>
      <c r="Z11" s="54">
        <f>IFERROR(C39,0)</f>
        <v>0</v>
      </c>
    </row>
    <row r="12" spans="1:26" ht="27.75" customHeight="1" x14ac:dyDescent="0.35">
      <c r="B12" s="40" t="s">
        <v>187</v>
      </c>
      <c r="C12" s="55">
        <f>IFERROR(C7+C9+C10+C11,0)</f>
        <v>187400</v>
      </c>
      <c r="E12" s="107" t="str">
        <f>IFERROR(IF(ABS(C43)&lt;=MAX(G7,0.5),"Reconciled","Difference Identified — Review Inputs"),"Difference Identified — Review Inputs")</f>
        <v>Reconciled</v>
      </c>
      <c r="F12" s="107"/>
      <c r="G12" s="107"/>
      <c r="H12" s="107"/>
      <c r="Y12" s="53" t="s">
        <v>188</v>
      </c>
      <c r="Z12" s="54">
        <f>IFERROR(C41,0)</f>
        <v>-58800</v>
      </c>
    </row>
    <row r="13" spans="1:26" ht="15.75" customHeight="1" x14ac:dyDescent="0.35">
      <c r="B13" s="93" t="s">
        <v>189</v>
      </c>
      <c r="C13" s="93"/>
      <c r="E13" s="108" t="str">
        <f>IFERROR(IF(ABS(C43)&lt;=MAX(G7,0.5),"The calculated change in cash agrees with the actual change in cash, based on the information entered.","Calculated and actual cash movement differ by "&amp;TEXT(ABS(C43),"$#,##0;($#,##0)")&amp;". A cash movement may be missing from the inputs, or a balance may be classified differently than assumed here."),"")</f>
        <v>The calculated change in cash agrees with the actual change in cash, based on the information entered.</v>
      </c>
      <c r="F13" s="108"/>
      <c r="G13" s="108"/>
      <c r="H13" s="108"/>
    </row>
    <row r="14" spans="1:26" ht="15.75" customHeight="1" x14ac:dyDescent="0.35">
      <c r="B14" s="56" t="s">
        <v>110</v>
      </c>
      <c r="C14" s="36">
        <f>IFERROR('WORKING CAPITAL'!$F$8,0)</f>
        <v>-158000</v>
      </c>
      <c r="E14" s="108"/>
      <c r="F14" s="108"/>
      <c r="G14" s="108"/>
      <c r="H14" s="108"/>
    </row>
    <row r="15" spans="1:26" ht="15.75" customHeight="1" x14ac:dyDescent="0.35">
      <c r="B15" s="56" t="s">
        <v>112</v>
      </c>
      <c r="C15" s="36">
        <f>IFERROR('WORKING CAPITAL'!$F$9,0)</f>
        <v>-26000</v>
      </c>
      <c r="E15" s="108"/>
      <c r="F15" s="108"/>
      <c r="G15" s="108"/>
      <c r="H15" s="108"/>
    </row>
    <row r="16" spans="1:26" ht="18" customHeight="1" x14ac:dyDescent="0.35">
      <c r="B16" s="56" t="s">
        <v>113</v>
      </c>
      <c r="C16" s="36">
        <f>IFERROR('WORKING CAPITAL'!$F$10,0)</f>
        <v>3500</v>
      </c>
    </row>
    <row r="17" spans="2:8" ht="19.5" customHeight="1" x14ac:dyDescent="0.35">
      <c r="B17" s="56" t="s">
        <v>114</v>
      </c>
      <c r="C17" s="36">
        <f>IFERROR('WORKING CAPITAL'!$F$11,0)</f>
        <v>0</v>
      </c>
      <c r="E17" s="98" t="s">
        <v>190</v>
      </c>
      <c r="F17" s="98"/>
      <c r="G17" s="98"/>
      <c r="H17" s="98"/>
    </row>
    <row r="18" spans="2:8" ht="25.5" customHeight="1" x14ac:dyDescent="0.35">
      <c r="B18" s="56" t="s">
        <v>116</v>
      </c>
      <c r="C18" s="36">
        <f>IFERROR('WORKING CAPITAL'!$F$12,0)</f>
        <v>45000</v>
      </c>
      <c r="E18" s="109" t="s">
        <v>191</v>
      </c>
      <c r="F18" s="109"/>
      <c r="G18" s="110">
        <f>IFERROR(IF('FINANCIAL INPUTS'!$C$23&lt;=0,"N/M",C23/'FINANCIAL INPUTS'!$C$23),"N/M")</f>
        <v>0.64882226980728053</v>
      </c>
      <c r="H18" s="110"/>
    </row>
    <row r="19" spans="2:8" ht="15" customHeight="1" x14ac:dyDescent="0.35">
      <c r="B19" s="56" t="s">
        <v>118</v>
      </c>
      <c r="C19" s="36">
        <f>IFERROR('WORKING CAPITAL'!$F$13,0)</f>
        <v>6500</v>
      </c>
      <c r="E19" s="144" t="s">
        <v>192</v>
      </c>
      <c r="F19" s="144"/>
      <c r="G19" s="144"/>
      <c r="H19" s="144"/>
    </row>
    <row r="20" spans="2:8" ht="15" customHeight="1" x14ac:dyDescent="0.35">
      <c r="B20" s="56" t="s">
        <v>119</v>
      </c>
      <c r="C20" s="36">
        <f>IFERROR('WORKING CAPITAL'!$F$14,0)</f>
        <v>-4000</v>
      </c>
      <c r="E20" s="145"/>
      <c r="F20" s="145"/>
      <c r="G20" s="145"/>
      <c r="H20" s="145"/>
    </row>
    <row r="21" spans="2:8" ht="15" customHeight="1" x14ac:dyDescent="0.35">
      <c r="B21" s="56" t="s">
        <v>120</v>
      </c>
      <c r="C21" s="36">
        <f>IFERROR('WORKING CAPITAL'!$F$15,0)</f>
        <v>6200</v>
      </c>
      <c r="E21" s="145"/>
      <c r="F21" s="145"/>
      <c r="G21" s="145"/>
      <c r="H21" s="145"/>
    </row>
    <row r="22" spans="2:8" ht="15" customHeight="1" x14ac:dyDescent="0.35">
      <c r="B22" s="56" t="s">
        <v>121</v>
      </c>
      <c r="C22" s="36">
        <f>IFERROR('WORKING CAPITAL'!$F$16,0)</f>
        <v>0</v>
      </c>
      <c r="E22" s="145"/>
      <c r="F22" s="145"/>
      <c r="G22" s="145"/>
      <c r="H22" s="145"/>
    </row>
    <row r="23" spans="2:8" ht="24" customHeight="1" x14ac:dyDescent="0.35">
      <c r="B23" s="57" t="s">
        <v>193</v>
      </c>
      <c r="C23" s="58">
        <f>IFERROR(C12+SUM(C14:C22),0)</f>
        <v>60600</v>
      </c>
      <c r="E23" s="145"/>
      <c r="F23" s="145"/>
      <c r="G23" s="145"/>
      <c r="H23" s="145"/>
    </row>
    <row r="24" spans="2:8" ht="18.75" customHeight="1" x14ac:dyDescent="0.35">
      <c r="B24" s="93" t="s">
        <v>194</v>
      </c>
      <c r="C24" s="93"/>
    </row>
    <row r="25" spans="2:8" ht="18" customHeight="1" x14ac:dyDescent="0.35">
      <c r="B25" s="56" t="s">
        <v>125</v>
      </c>
      <c r="C25" s="36">
        <f>IFERROR(-'FINANCIAL INPUTS'!$C$51,0)</f>
        <v>-118000</v>
      </c>
    </row>
    <row r="26" spans="2:8" ht="18" customHeight="1" x14ac:dyDescent="0.35">
      <c r="B26" s="56" t="s">
        <v>127</v>
      </c>
      <c r="C26" s="36">
        <f>IFERROR('FINANCIAL INPUTS'!$C$52,0)</f>
        <v>14000</v>
      </c>
    </row>
    <row r="27" spans="2:8" ht="18" customHeight="1" x14ac:dyDescent="0.35">
      <c r="B27" s="56" t="s">
        <v>137</v>
      </c>
      <c r="C27" s="36">
        <f>IFERROR(-'FINANCIAL INPUTS'!$C$57,0)</f>
        <v>0</v>
      </c>
    </row>
    <row r="28" spans="2:8" ht="18" customHeight="1" x14ac:dyDescent="0.35">
      <c r="B28" s="56" t="s">
        <v>139</v>
      </c>
      <c r="C28" s="36">
        <f>IFERROR('FINANCIAL INPUTS'!$C$58,0)</f>
        <v>0</v>
      </c>
    </row>
    <row r="29" spans="2:8" ht="21.75" customHeight="1" x14ac:dyDescent="0.35">
      <c r="B29" s="40" t="s">
        <v>195</v>
      </c>
      <c r="C29" s="55">
        <f>IFERROR(SUM(C25:C28),0)</f>
        <v>-104000</v>
      </c>
    </row>
    <row r="30" spans="2:8" ht="18.75" customHeight="1" x14ac:dyDescent="0.35">
      <c r="B30" s="93" t="s">
        <v>196</v>
      </c>
      <c r="C30" s="93"/>
    </row>
    <row r="31" spans="2:8" ht="18" customHeight="1" x14ac:dyDescent="0.35">
      <c r="B31" s="56" t="s">
        <v>129</v>
      </c>
      <c r="C31" s="36">
        <f>IFERROR('FINANCIAL INPUTS'!$C$53,0)</f>
        <v>95000</v>
      </c>
    </row>
    <row r="32" spans="2:8" ht="18" customHeight="1" x14ac:dyDescent="0.35">
      <c r="B32" s="56" t="s">
        <v>131</v>
      </c>
      <c r="C32" s="36">
        <f>IFERROR(-'FINANCIAL INPUTS'!$C$54,0)</f>
        <v>-68400</v>
      </c>
    </row>
    <row r="33" spans="2:8" ht="18" customHeight="1" x14ac:dyDescent="0.35">
      <c r="B33" s="56" t="s">
        <v>133</v>
      </c>
      <c r="C33" s="36">
        <f>IFERROR('FINANCIAL INPUTS'!$C$55,0)</f>
        <v>0</v>
      </c>
    </row>
    <row r="34" spans="2:8" ht="18" customHeight="1" x14ac:dyDescent="0.35">
      <c r="B34" s="56" t="s">
        <v>135</v>
      </c>
      <c r="C34" s="36">
        <f>IFERROR(-'FINANCIAL INPUTS'!$C$56,0)</f>
        <v>-42000</v>
      </c>
    </row>
    <row r="35" spans="2:8" ht="21.75" customHeight="1" x14ac:dyDescent="0.35">
      <c r="B35" s="40" t="s">
        <v>197</v>
      </c>
      <c r="C35" s="55">
        <f>IFERROR(SUM(C31:C34),0)</f>
        <v>-15400</v>
      </c>
    </row>
    <row r="36" spans="2:8" ht="18.75" customHeight="1" x14ac:dyDescent="0.35">
      <c r="B36" s="93" t="s">
        <v>198</v>
      </c>
      <c r="C36" s="93"/>
    </row>
    <row r="37" spans="2:8" ht="18" customHeight="1" x14ac:dyDescent="0.35">
      <c r="B37" s="56" t="s">
        <v>141</v>
      </c>
      <c r="C37" s="36">
        <f>IFERROR('FINANCIAL INPUTS'!$C$59,0)</f>
        <v>0</v>
      </c>
    </row>
    <row r="38" spans="2:8" ht="18" customHeight="1" x14ac:dyDescent="0.35">
      <c r="B38" s="56" t="s">
        <v>144</v>
      </c>
      <c r="C38" s="36">
        <f>IFERROR(-'FINANCIAL INPUTS'!$C$60,0)</f>
        <v>0</v>
      </c>
    </row>
    <row r="39" spans="2:8" ht="21.75" customHeight="1" x14ac:dyDescent="0.35">
      <c r="B39" s="40" t="s">
        <v>199</v>
      </c>
      <c r="C39" s="55">
        <f>IFERROR(C37+C38,0)</f>
        <v>0</v>
      </c>
    </row>
    <row r="41" spans="2:8" ht="24" customHeight="1" x14ac:dyDescent="0.35">
      <c r="B41" s="57" t="s">
        <v>200</v>
      </c>
      <c r="C41" s="58">
        <f>IFERROR(C23+C29+C35+C39,0)</f>
        <v>-58800</v>
      </c>
    </row>
    <row r="42" spans="2:8" ht="24" customHeight="1" x14ac:dyDescent="0.35">
      <c r="B42" s="57" t="s">
        <v>201</v>
      </c>
      <c r="C42" s="58">
        <f>IFERROR('FINANCIAL INPUTS'!$C$31,0)</f>
        <v>-58800</v>
      </c>
    </row>
    <row r="43" spans="2:8" ht="24" customHeight="1" x14ac:dyDescent="0.35">
      <c r="B43" s="57" t="s">
        <v>202</v>
      </c>
      <c r="C43" s="59">
        <f>IFERROR(C42-C41,0)</f>
        <v>0</v>
      </c>
    </row>
    <row r="45" spans="2:8" ht="19.5" customHeight="1" x14ac:dyDescent="0.35">
      <c r="B45" s="111" t="s">
        <v>203</v>
      </c>
      <c r="C45" s="111"/>
      <c r="D45" s="111"/>
      <c r="E45" s="111"/>
      <c r="F45" s="111"/>
      <c r="G45" s="111"/>
      <c r="H45" s="111"/>
    </row>
    <row r="63" spans="2:8" ht="18" customHeight="1" x14ac:dyDescent="0.35">
      <c r="B63" s="112" t="s">
        <v>204</v>
      </c>
      <c r="C63" s="112"/>
      <c r="D63" s="112"/>
      <c r="E63" s="112"/>
      <c r="F63" s="112"/>
      <c r="G63" s="112"/>
      <c r="H63" s="112"/>
    </row>
    <row r="65" spans="2:8" ht="27.75" customHeight="1" x14ac:dyDescent="0.35">
      <c r="B65" s="113" t="s">
        <v>205</v>
      </c>
      <c r="C65" s="113"/>
      <c r="D65" s="113"/>
      <c r="E65" s="113"/>
      <c r="F65" s="113"/>
      <c r="G65" s="113"/>
      <c r="H65" s="113"/>
    </row>
  </sheetData>
  <sheetProtection sheet="1" formatCells="0" sort="0" autoFilter="0"/>
  <mergeCells count="24">
    <mergeCell ref="B63:H63"/>
    <mergeCell ref="B65:H65"/>
    <mergeCell ref="E19:H23"/>
    <mergeCell ref="B24:C24"/>
    <mergeCell ref="B30:C30"/>
    <mergeCell ref="B36:C36"/>
    <mergeCell ref="B45:H45"/>
    <mergeCell ref="E12:H12"/>
    <mergeCell ref="B13:C13"/>
    <mergeCell ref="E13:H15"/>
    <mergeCell ref="E17:H17"/>
    <mergeCell ref="E18:F18"/>
    <mergeCell ref="G18:H18"/>
    <mergeCell ref="E7:F7"/>
    <mergeCell ref="G7:H7"/>
    <mergeCell ref="B8:C8"/>
    <mergeCell ref="E8:H9"/>
    <mergeCell ref="E11:H11"/>
    <mergeCell ref="B1:I1"/>
    <mergeCell ref="B2:D2"/>
    <mergeCell ref="E2:H2"/>
    <mergeCell ref="B3:H3"/>
    <mergeCell ref="B6:C6"/>
    <mergeCell ref="E6:H6"/>
  </mergeCells>
  <dataValidations count="1">
    <dataValidation type="decimal" showErrorMessage="1" errorTitle="Reconciliation Tolerance" error="Enter a tolerance of zero or more." sqref="G7" xr:uid="{00000000-0002-0000-0300-000000000000}">
      <formula1>0</formula1>
      <formula2>100000000</formula2>
    </dataValidation>
  </dataValidations>
  <pageMargins left="0.75" right="0.75" top="1" bottom="1" header="0.511811023622047" footer="0.511811023622047"/>
  <pageSetup fitToHeight="0"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49"/>
  <sheetViews>
    <sheetView showGridLines="0" zoomScaleNormal="100" workbookViewId="0">
      <pane xSplit="1" ySplit="7" topLeftCell="B32" activePane="bottomRight" state="frozen"/>
      <selection pane="topRight" activeCell="B1" sqref="B1"/>
      <selection pane="bottomLeft" activeCell="A8" sqref="A8"/>
      <selection pane="bottomRight"/>
    </sheetView>
  </sheetViews>
  <sheetFormatPr defaultColWidth="8.6328125" defaultRowHeight="14.5" x14ac:dyDescent="0.35"/>
  <cols>
    <col min="1" max="1" width="3" customWidth="1"/>
    <col min="2" max="2" width="44" customWidth="1"/>
    <col min="3" max="3" width="17" customWidth="1"/>
    <col min="4" max="4" width="20" customWidth="1"/>
    <col min="5" max="5" width="72" customWidth="1"/>
    <col min="6" max="6" width="3" customWidth="1"/>
    <col min="25" max="26" width="10" customWidth="1"/>
  </cols>
  <sheetData>
    <row r="1" spans="1:26" ht="13.5" customHeight="1" x14ac:dyDescent="0.35">
      <c r="A1" s="15"/>
      <c r="B1" s="86" t="s">
        <v>0</v>
      </c>
      <c r="C1" s="86"/>
      <c r="D1" s="86"/>
      <c r="E1" s="86"/>
      <c r="F1" s="86"/>
    </row>
    <row r="2" spans="1:26" ht="27.75" customHeight="1" x14ac:dyDescent="0.35">
      <c r="A2" s="15"/>
      <c r="B2" s="87" t="s">
        <v>206</v>
      </c>
      <c r="C2" s="87"/>
      <c r="D2" s="88" t="str">
        <f>IFERROR('FINANCIAL INPUTS'!$C$9&amp;"     ·     FICTIONAL EXAMPLE DATA","")</f>
        <v>Year ended June 30, 2026     ·     FICTIONAL EXAMPLE DATA</v>
      </c>
      <c r="E2" s="88"/>
      <c r="F2" s="15"/>
    </row>
    <row r="3" spans="1:26" ht="15.75" customHeight="1" x14ac:dyDescent="0.35">
      <c r="A3" s="15"/>
      <c r="B3" s="89" t="s">
        <v>207</v>
      </c>
      <c r="C3" s="89"/>
      <c r="D3" s="89"/>
      <c r="E3" s="89"/>
      <c r="F3" s="15"/>
    </row>
    <row r="4" spans="1:26" ht="7.5" customHeight="1" x14ac:dyDescent="0.35">
      <c r="A4" s="15"/>
      <c r="B4" s="15"/>
      <c r="C4" s="15"/>
      <c r="D4" s="15"/>
      <c r="E4" s="15"/>
      <c r="F4" s="15"/>
    </row>
    <row r="5" spans="1:26" ht="7.5" customHeight="1" x14ac:dyDescent="0.35"/>
    <row r="6" spans="1:26" ht="19.5" customHeight="1" x14ac:dyDescent="0.35">
      <c r="B6" s="96" t="s">
        <v>208</v>
      </c>
      <c r="C6" s="96"/>
      <c r="D6" s="96"/>
      <c r="E6" s="96"/>
    </row>
    <row r="7" spans="1:26" ht="30" customHeight="1" x14ac:dyDescent="0.35">
      <c r="B7" s="31" t="s">
        <v>209</v>
      </c>
      <c r="C7" s="32" t="s">
        <v>210</v>
      </c>
      <c r="D7" s="33" t="s">
        <v>159</v>
      </c>
      <c r="E7" s="31" t="s">
        <v>108</v>
      </c>
    </row>
    <row r="8" spans="1:26" ht="27.75" customHeight="1" x14ac:dyDescent="0.35">
      <c r="B8" s="34" t="s">
        <v>211</v>
      </c>
      <c r="C8" s="60">
        <f>IFERROR('FINANCIAL INPUTS'!$C$23,0)</f>
        <v>93400</v>
      </c>
      <c r="D8" s="61" t="s">
        <v>212</v>
      </c>
      <c r="E8" s="46" t="str">
        <f>IFERROR(IF(ROUND(C8,0)=0,"The business reported neither a profit nor a loss for the period.",IF(C8&gt;0,"Net profit is the starting point of the reconciliation rather than a separate cash inflow.","The net loss for the period is the starting point of the reconciliation rather than a cash outflow in its own right.")),"")</f>
        <v>Net profit is the starting point of the reconciliation rather than a separate cash inflow.</v>
      </c>
      <c r="Y8" s="47">
        <f t="shared" ref="Y8:Y20" si="0">IFERROR(C8-ROW()/100000,0)</f>
        <v>93399.999920000002</v>
      </c>
      <c r="Z8" s="47">
        <f t="shared" ref="Z8:Z20" si="1">IFERROR(-C8-ROW()/100000,0)</f>
        <v>-93400.000079999998</v>
      </c>
    </row>
    <row r="9" spans="1:26" ht="27.75" customHeight="1" x14ac:dyDescent="0.35">
      <c r="B9" s="34" t="s">
        <v>213</v>
      </c>
      <c r="C9" s="60">
        <f>IFERROR('FINANCIAL INPUTS'!$C$20+'FINANCIAL INPUTS'!$C$64-'FINANCIAL INPUTS'!$C$65,0)</f>
        <v>94000</v>
      </c>
      <c r="D9" s="61" t="s">
        <v>214</v>
      </c>
      <c r="E9" s="46" t="str">
        <f>IFERROR(IF(ROUND(C9,0)=0,"No non-cash items were entered for the period.",IF(C9&gt;0,"These expenses reduced accounting profit without using cash during the period, so they are added back in the profit-to-cash reconciliation. They are not cash inflows.","Non-cash income increased accounting profit without bringing in cash, so it is removed in the reconciliation. It is not a cash outflow.")),"")</f>
        <v>These expenses reduced accounting profit without using cash during the period, so they are added back in the profit-to-cash reconciliation. They are not cash inflows.</v>
      </c>
      <c r="Y9" s="47">
        <f t="shared" si="0"/>
        <v>93999.999909999999</v>
      </c>
      <c r="Z9" s="47">
        <f t="shared" si="1"/>
        <v>-94000.000090000001</v>
      </c>
    </row>
    <row r="10" spans="1:26" ht="27.75" customHeight="1" x14ac:dyDescent="0.35">
      <c r="B10" s="34" t="s">
        <v>110</v>
      </c>
      <c r="C10" s="60">
        <f>IFERROR('WORKING CAPITAL'!$F$8,0)</f>
        <v>-158000</v>
      </c>
      <c r="D10" s="61" t="s">
        <v>154</v>
      </c>
      <c r="E10" s="46" t="str">
        <f>IFERROR(IF(ROUND(C10,0)=0,"Receivables were unchanged over the period.",IF(C10&gt;0,"Receivables came down, releasing cash that had been tied up in customer balances.","Growth in accounts receivable absorbed cash because reported revenue had not yet been fully collected.")),"")</f>
        <v>Growth in accounts receivable absorbed cash because reported revenue had not yet been fully collected.</v>
      </c>
      <c r="Y10" s="47">
        <f t="shared" si="0"/>
        <v>-158000.0001</v>
      </c>
      <c r="Z10" s="47">
        <f t="shared" si="1"/>
        <v>157999.9999</v>
      </c>
    </row>
    <row r="11" spans="1:26" ht="27.75" customHeight="1" x14ac:dyDescent="0.35">
      <c r="B11" s="34" t="s">
        <v>112</v>
      </c>
      <c r="C11" s="60">
        <f>IFERROR('WORKING CAPITAL'!$F$9,0)</f>
        <v>-26000</v>
      </c>
      <c r="D11" s="61" t="s">
        <v>154</v>
      </c>
      <c r="E11" s="46" t="str">
        <f>IFERROR(IF(ROUND(C11,0)=0,"Inventory was unchanged over the period.",IF(C11&gt;0,"Inventory came down, releasing cash that had been held in stock.","Inventory increased, absorbing cash during the period.")),"")</f>
        <v>Inventory increased, absorbing cash during the period.</v>
      </c>
      <c r="Y11" s="47">
        <f t="shared" si="0"/>
        <v>-26000.000110000001</v>
      </c>
      <c r="Z11" s="47">
        <f t="shared" si="1"/>
        <v>25999.999889999999</v>
      </c>
    </row>
    <row r="12" spans="1:26" ht="27.75" customHeight="1" x14ac:dyDescent="0.35">
      <c r="B12" s="34" t="s">
        <v>215</v>
      </c>
      <c r="C12" s="60">
        <f>IFERROR('WORKING CAPITAL'!$F$10+'WORKING CAPITAL'!$F$11,0)</f>
        <v>3500</v>
      </c>
      <c r="D12" s="61" t="s">
        <v>154</v>
      </c>
      <c r="E12" s="46" t="str">
        <f>IFERROR(IF(ROUND(C12,0)=0,"Prepaid and other operating assets were unchanged over the period.",IF(C12&gt;0,"Prepaid and other operating assets came down, releasing cash during the period.","Prepaid and other operating assets increased, absorbing cash during the period.")),"")</f>
        <v>Prepaid and other operating assets came down, releasing cash during the period.</v>
      </c>
      <c r="Y12" s="47">
        <f t="shared" si="0"/>
        <v>3499.9998799999998</v>
      </c>
      <c r="Z12" s="47">
        <f t="shared" si="1"/>
        <v>-3500.0001200000002</v>
      </c>
    </row>
    <row r="13" spans="1:26" ht="27.75" customHeight="1" x14ac:dyDescent="0.35">
      <c r="B13" s="34" t="s">
        <v>116</v>
      </c>
      <c r="C13" s="60">
        <f>IFERROR('WORKING CAPITAL'!$F$12,0)</f>
        <v>45000</v>
      </c>
      <c r="D13" s="61" t="s">
        <v>154</v>
      </c>
      <c r="E13" s="46" t="str">
        <f>IFERROR(IF(ROUND(C13,0)=0,"Accounts payable was unchanged over the period.",IF(C13&gt;0,"Accounts payable increased, preserving cash by increasing amounts owed to suppliers.","Accounts payable decreased, using cash to reduce supplier balances.")),"")</f>
        <v>Accounts payable increased, preserving cash by increasing amounts owed to suppliers.</v>
      </c>
      <c r="Y13" s="47">
        <f t="shared" si="0"/>
        <v>44999.99987</v>
      </c>
      <c r="Z13" s="47">
        <f t="shared" si="1"/>
        <v>-45000.00013</v>
      </c>
    </row>
    <row r="14" spans="1:26" ht="27.75" customHeight="1" x14ac:dyDescent="0.35">
      <c r="B14" s="34" t="s">
        <v>216</v>
      </c>
      <c r="C14" s="60">
        <f>IFERROR('WORKING CAPITAL'!$F$13+'WORKING CAPITAL'!$F$14+'WORKING CAPITAL'!$F$15+'WORKING CAPITAL'!$F$16,0)</f>
        <v>8700</v>
      </c>
      <c r="D14" s="61" t="s">
        <v>154</v>
      </c>
      <c r="E14" s="46" t="str">
        <f>IFERROR(IF(ROUND(C14,0)=0,"Accrued, payroll and sales tax balances were unchanged over the period.",IF(C14&gt;0,"Accrued, payroll and sales tax balances increased, preserving cash at period end.","Accrued, payroll and sales tax balances decreased, using cash to settle amounts owed.")),"")</f>
        <v>Accrued, payroll and sales tax balances increased, preserving cash at period end.</v>
      </c>
      <c r="Y14" s="47">
        <f t="shared" si="0"/>
        <v>8699.9998599999999</v>
      </c>
      <c r="Z14" s="47">
        <f t="shared" si="1"/>
        <v>-8700.0001400000001</v>
      </c>
    </row>
    <row r="15" spans="1:26" ht="27.75" customHeight="1" x14ac:dyDescent="0.35">
      <c r="B15" s="34" t="s">
        <v>125</v>
      </c>
      <c r="C15" s="60">
        <f>IFERROR(-'FINANCIAL INPUTS'!$C$51,0)</f>
        <v>-118000</v>
      </c>
      <c r="D15" s="61" t="s">
        <v>183</v>
      </c>
      <c r="E15" s="46" t="str">
        <f>IFERROR(IF(ROUND(C15,0)=0,"No capital expenditures were entered for the period.",IF(C15&gt;0,"No capital expenditures were entered for the period.","Capital expenditures used cash during the period but are generally recorded on the balance sheet rather than fully expensed immediately.")),"")</f>
        <v>Capital expenditures used cash during the period but are generally recorded on the balance sheet rather than fully expensed immediately.</v>
      </c>
      <c r="Y15" s="47">
        <f t="shared" si="0"/>
        <v>-118000.00015000001</v>
      </c>
      <c r="Z15" s="47">
        <f t="shared" si="1"/>
        <v>117999.99984999999</v>
      </c>
    </row>
    <row r="16" spans="1:26" ht="27.75" customHeight="1" x14ac:dyDescent="0.35">
      <c r="B16" s="34" t="s">
        <v>217</v>
      </c>
      <c r="C16" s="60">
        <f>IFERROR('FINANCIAL INPUTS'!$C$52+'FINANCIAL INPUTS'!$C$58-'FINANCIAL INPUTS'!$C$57,0)</f>
        <v>14000</v>
      </c>
      <c r="D16" s="61" t="s">
        <v>183</v>
      </c>
      <c r="E16" s="46" t="str">
        <f>IFERROR(IF(ROUND(C16,0)=0,"No asset or investment activity was entered for the period.",IF(C16&gt;0,"Proceeds from selling assets or investments increased cash. This is not operating cash generation.","Cash was used to acquire a business, an investment or other non-operating assets.")),"")</f>
        <v>Proceeds from selling assets or investments increased cash. This is not operating cash generation.</v>
      </c>
      <c r="Y16" s="47">
        <f t="shared" si="0"/>
        <v>13999.99984</v>
      </c>
      <c r="Z16" s="47">
        <f t="shared" si="1"/>
        <v>-14000.00016</v>
      </c>
    </row>
    <row r="17" spans="2:26" ht="27.75" customHeight="1" x14ac:dyDescent="0.35">
      <c r="B17" s="34" t="s">
        <v>218</v>
      </c>
      <c r="C17" s="60">
        <f>IFERROR('FINANCIAL INPUTS'!$C$53-'FINANCIAL INPUTS'!$C$54,0)</f>
        <v>26600</v>
      </c>
      <c r="D17" s="61" t="s">
        <v>219</v>
      </c>
      <c r="E17" s="46" t="str">
        <f>IFERROR(IF(ROUND(C17,0)=0,"Borrowing and repayments offset each other, or no debt activity was entered.",IF(C17&gt;0,"Borrowing increased cash during the period. This represents financing rather than operating cash generation.","Debt principal repayments reduced cash during the period. Principal repayments are not an expense on the income statement.")),"")</f>
        <v>Borrowing increased cash during the period. This represents financing rather than operating cash generation.</v>
      </c>
      <c r="Y17" s="47">
        <f t="shared" si="0"/>
        <v>26599.999830000001</v>
      </c>
      <c r="Z17" s="47">
        <f t="shared" si="1"/>
        <v>-26600.000169999999</v>
      </c>
    </row>
    <row r="18" spans="2:26" ht="27.75" customHeight="1" x14ac:dyDescent="0.35">
      <c r="B18" s="34" t="s">
        <v>220</v>
      </c>
      <c r="C18" s="60">
        <f>IFERROR('FINANCIAL INPUTS'!$C$55,0)</f>
        <v>0</v>
      </c>
      <c r="D18" s="61" t="s">
        <v>221</v>
      </c>
      <c r="E18" s="46" t="str">
        <f>IFERROR(IF(ROUND(C18,0)=0,"No owner contributions were entered for the period.",IF(C18&gt;0,"The owner put cash into the business. This is financing, not revenue.","No owner contributions were entered for the period.")),"")</f>
        <v>No owner contributions were entered for the period.</v>
      </c>
      <c r="Y18" s="47">
        <f t="shared" si="0"/>
        <v>-1.8000000000000001E-4</v>
      </c>
      <c r="Z18" s="47">
        <f t="shared" si="1"/>
        <v>-1.8000000000000001E-4</v>
      </c>
    </row>
    <row r="19" spans="2:26" ht="27.75" customHeight="1" x14ac:dyDescent="0.35">
      <c r="B19" s="34" t="s">
        <v>222</v>
      </c>
      <c r="C19" s="60">
        <f>IFERROR(-'FINANCIAL INPUTS'!$C$56,0)</f>
        <v>-42000</v>
      </c>
      <c r="D19" s="61" t="s">
        <v>221</v>
      </c>
      <c r="E19" s="46" t="str">
        <f>IFERROR(IF(ROUND(C19,0)=0,"No owner distributions were entered for the period.",IF(C19&gt;0,"No owner distributions were entered for the period.","Owner distributions reduced business cash during the period but do not reduce accounting profit.")),"")</f>
        <v>Owner distributions reduced business cash during the period but do not reduce accounting profit.</v>
      </c>
      <c r="Y19" s="47">
        <f t="shared" si="0"/>
        <v>-42000.000189999999</v>
      </c>
      <c r="Z19" s="47">
        <f t="shared" si="1"/>
        <v>41999.999810000001</v>
      </c>
    </row>
    <row r="20" spans="2:26" ht="27.75" customHeight="1" x14ac:dyDescent="0.35">
      <c r="B20" s="34" t="s">
        <v>223</v>
      </c>
      <c r="C20" s="60">
        <f>IFERROR('FINANCIAL INPUTS'!$C$59-'FINANCIAL INPUTS'!$C$60,0)</f>
        <v>0</v>
      </c>
      <c r="D20" s="61" t="s">
        <v>186</v>
      </c>
      <c r="E20" s="46" t="str">
        <f>IFERROR(IF(ROUND(C20,0)=0,"No other cash movements were entered for the period.",IF(C20&gt;0,"Other cash movements increased cash during the period.","Other cash movements reduced cash during the period.")),"")</f>
        <v>No other cash movements were entered for the period.</v>
      </c>
      <c r="Y20" s="47">
        <f t="shared" si="0"/>
        <v>-2.0000000000000001E-4</v>
      </c>
      <c r="Z20" s="47">
        <f t="shared" si="1"/>
        <v>-2.0000000000000001E-4</v>
      </c>
    </row>
    <row r="21" spans="2:26" ht="30" customHeight="1" x14ac:dyDescent="0.35">
      <c r="B21" s="57" t="s">
        <v>224</v>
      </c>
      <c r="C21" s="62">
        <f>IFERROR(SUM(C8:C20),0)</f>
        <v>-58800</v>
      </c>
      <c r="D21" s="114" t="s">
        <v>225</v>
      </c>
      <c r="E21" s="114"/>
    </row>
    <row r="23" spans="2:26" ht="19.5" customHeight="1" x14ac:dyDescent="0.35">
      <c r="B23" s="98" t="s">
        <v>226</v>
      </c>
      <c r="C23" s="98"/>
      <c r="D23" s="98"/>
      <c r="E23" s="98"/>
    </row>
    <row r="24" spans="2:26" ht="19.5" customHeight="1" x14ac:dyDescent="0.35">
      <c r="B24" s="18" t="s">
        <v>209</v>
      </c>
      <c r="C24" s="19" t="s">
        <v>124</v>
      </c>
      <c r="D24" s="63" t="s">
        <v>159</v>
      </c>
      <c r="E24" s="18" t="s">
        <v>227</v>
      </c>
    </row>
    <row r="25" spans="2:26" ht="18.75" customHeight="1" x14ac:dyDescent="0.35">
      <c r="B25" s="34" t="str">
        <f>IFERROR(IF(COUNTIF($C$8:$C$20,"&gt;0")&lt;1,"",INDEX($B$8:$B$20,MATCH(LARGE($Y$8:$Y$20,1),$Y$8:$Y$20,0))),"")</f>
        <v>Non-Cash Adjustments</v>
      </c>
      <c r="C25" s="50">
        <f>IFERROR(IF(COUNTIF($C$8:$C$20,"&gt;0")&lt;1,"",ABS(INDEX($C$8:$C$20,MATCH(LARGE($Y$8:$Y$20,1),$Y$8:$Y$20,0)))),"")</f>
        <v>94000</v>
      </c>
      <c r="D25" s="61" t="str">
        <f>IFERROR(IF(COUNTIF($C$8:$C$20,"&gt;0")&lt;1,"",INDEX($D$8:$D$20,MATCH(LARGE($Y$8:$Y$20,1),$Y$8:$Y$20,0))),"")</f>
        <v>Non-Cash Adjustment</v>
      </c>
      <c r="E25" s="100" t="s">
        <v>228</v>
      </c>
    </row>
    <row r="26" spans="2:26" ht="18.75" customHeight="1" x14ac:dyDescent="0.35">
      <c r="B26" s="34" t="str">
        <f>IFERROR(IF(COUNTIF($C$8:$C$20,"&gt;0")&lt;2,"",INDEX($B$8:$B$20,MATCH(LARGE($Y$8:$Y$20,2),$Y$8:$Y$20,0))),"")</f>
        <v>Profit / Operating Earnings</v>
      </c>
      <c r="C26" s="50">
        <f>IFERROR(IF(COUNTIF($C$8:$C$20,"&gt;0")&lt;2,"",ABS(INDEX($C$8:$C$20,MATCH(LARGE($Y$8:$Y$20,2),$Y$8:$Y$20,0)))),"")</f>
        <v>93400</v>
      </c>
      <c r="D26" s="61" t="str">
        <f>IFERROR(IF(COUNTIF($C$8:$C$20,"&gt;0")&lt;2,"",INDEX($D$8:$D$20,MATCH(LARGE($Y$8:$Y$20,2),$Y$8:$Y$20,0))),"")</f>
        <v>Starting Point</v>
      </c>
      <c r="E26" s="100"/>
    </row>
    <row r="27" spans="2:26" ht="18.75" customHeight="1" x14ac:dyDescent="0.35">
      <c r="B27" s="34" t="str">
        <f>IFERROR(IF(COUNTIF($C$8:$C$20,"&gt;0")&lt;3,"",INDEX($B$8:$B$20,MATCH(LARGE($Y$8:$Y$20,3),$Y$8:$Y$20,0))),"")</f>
        <v>Accounts Payable</v>
      </c>
      <c r="C27" s="50">
        <f>IFERROR(IF(COUNTIF($C$8:$C$20,"&gt;0")&lt;3,"",ABS(INDEX($C$8:$C$20,MATCH(LARGE($Y$8:$Y$20,3),$Y$8:$Y$20,0)))),"")</f>
        <v>45000</v>
      </c>
      <c r="D27" s="61" t="str">
        <f>IFERROR(IF(COUNTIF($C$8:$C$20,"&gt;0")&lt;3,"",INDEX($D$8:$D$20,MATCH(LARGE($Y$8:$Y$20,3),$Y$8:$Y$20,0))),"")</f>
        <v>Working Capital</v>
      </c>
      <c r="E27" s="100"/>
    </row>
    <row r="28" spans="2:26" ht="18.75" customHeight="1" x14ac:dyDescent="0.35">
      <c r="B28" s="34" t="str">
        <f>IFERROR(IF(COUNTIF($C$8:$C$20,"&gt;0")&lt;4,"",INDEX($B$8:$B$20,MATCH(LARGE($Y$8:$Y$20,4),$Y$8:$Y$20,0))),"")</f>
        <v>Debt Activity</v>
      </c>
      <c r="C28" s="50">
        <f>IFERROR(IF(COUNTIF($C$8:$C$20,"&gt;0")&lt;4,"",ABS(INDEX($C$8:$C$20,MATCH(LARGE($Y$8:$Y$20,4),$Y$8:$Y$20,0)))),"")</f>
        <v>26600</v>
      </c>
      <c r="D28" s="61" t="str">
        <f>IFERROR(IF(COUNTIF($C$8:$C$20,"&gt;0")&lt;4,"",INDEX($D$8:$D$20,MATCH(LARGE($Y$8:$Y$20,4),$Y$8:$Y$20,0))),"")</f>
        <v>Financing</v>
      </c>
      <c r="E28" s="100"/>
    </row>
    <row r="29" spans="2:26" ht="18.75" customHeight="1" x14ac:dyDescent="0.35">
      <c r="B29" s="34" t="str">
        <f>IFERROR(IF(COUNTIF($C$8:$C$20,"&gt;0")&lt;5,"",INDEX($B$8:$B$20,MATCH(LARGE($Y$8:$Y$20,5),$Y$8:$Y$20,0))),"")</f>
        <v>Asset / Investment Activity</v>
      </c>
      <c r="C29" s="50">
        <f>IFERROR(IF(COUNTIF($C$8:$C$20,"&gt;0")&lt;5,"",ABS(INDEX($C$8:$C$20,MATCH(LARGE($Y$8:$Y$20,5),$Y$8:$Y$20,0)))),"")</f>
        <v>14000</v>
      </c>
      <c r="D29" s="61" t="str">
        <f>IFERROR(IF(COUNTIF($C$8:$C$20,"&gt;0")&lt;5,"",INDEX($D$8:$D$20,MATCH(LARGE($Y$8:$Y$20,5),$Y$8:$Y$20,0))),"")</f>
        <v>Investing</v>
      </c>
      <c r="E29" s="100"/>
    </row>
    <row r="31" spans="2:26" ht="19.5" customHeight="1" x14ac:dyDescent="0.35">
      <c r="B31" s="98" t="s">
        <v>229</v>
      </c>
      <c r="C31" s="98"/>
      <c r="D31" s="98"/>
      <c r="E31" s="98"/>
    </row>
    <row r="32" spans="2:26" ht="19.5" customHeight="1" x14ac:dyDescent="0.35">
      <c r="B32" s="18" t="s">
        <v>209</v>
      </c>
      <c r="C32" s="19" t="s">
        <v>124</v>
      </c>
      <c r="D32" s="63" t="s">
        <v>159</v>
      </c>
      <c r="E32" s="18" t="s">
        <v>227</v>
      </c>
    </row>
    <row r="33" spans="2:5" ht="18.75" customHeight="1" x14ac:dyDescent="0.35">
      <c r="B33" s="34" t="str">
        <f>IFERROR(IF(COUNTIF($C$8:$C$20,"&lt;0")&lt;1,"",INDEX($B$8:$B$20,MATCH(LARGE($Z$8:$Z$20,1),$Z$8:$Z$20,0))),"")</f>
        <v>Accounts Receivable</v>
      </c>
      <c r="C33" s="50">
        <f>IFERROR(IF(COUNTIF($C$8:$C$20,"&lt;0")&lt;1,"",ABS(INDEX($C$8:$C$20,MATCH(LARGE($Z$8:$Z$20,1),$Z$8:$Z$20,0)))),"")</f>
        <v>158000</v>
      </c>
      <c r="D33" s="61" t="str">
        <f>IFERROR(IF(COUNTIF($C$8:$C$20,"&lt;0")&lt;1,"",INDEX($D$8:$D$20,MATCH(LARGE($Z$8:$Z$20,1),$Z$8:$Z$20,0))),"")</f>
        <v>Working Capital</v>
      </c>
      <c r="E33" s="100" t="s">
        <v>230</v>
      </c>
    </row>
    <row r="34" spans="2:5" ht="18.75" customHeight="1" x14ac:dyDescent="0.35">
      <c r="B34" s="34" t="str">
        <f>IFERROR(IF(COUNTIF($C$8:$C$20,"&lt;0")&lt;2,"",INDEX($B$8:$B$20,MATCH(LARGE($Z$8:$Z$20,2),$Z$8:$Z$20,0))),"")</f>
        <v>Capital Expenditures</v>
      </c>
      <c r="C34" s="50">
        <f>IFERROR(IF(COUNTIF($C$8:$C$20,"&lt;0")&lt;2,"",ABS(INDEX($C$8:$C$20,MATCH(LARGE($Z$8:$Z$20,2),$Z$8:$Z$20,0)))),"")</f>
        <v>118000</v>
      </c>
      <c r="D34" s="61" t="str">
        <f>IFERROR(IF(COUNTIF($C$8:$C$20,"&lt;0")&lt;2,"",INDEX($D$8:$D$20,MATCH(LARGE($Z$8:$Z$20,2),$Z$8:$Z$20,0))),"")</f>
        <v>Investing</v>
      </c>
      <c r="E34" s="100"/>
    </row>
    <row r="35" spans="2:5" ht="18.75" customHeight="1" x14ac:dyDescent="0.35">
      <c r="B35" s="34" t="str">
        <f>IFERROR(IF(COUNTIF($C$8:$C$20,"&lt;0")&lt;3,"",INDEX($B$8:$B$20,MATCH(LARGE($Z$8:$Z$20,3),$Z$8:$Z$20,0))),"")</f>
        <v>Owner Distributions</v>
      </c>
      <c r="C35" s="50">
        <f>IFERROR(IF(COUNTIF($C$8:$C$20,"&lt;0")&lt;3,"",ABS(INDEX($C$8:$C$20,MATCH(LARGE($Z$8:$Z$20,3),$Z$8:$Z$20,0)))),"")</f>
        <v>42000</v>
      </c>
      <c r="D35" s="61" t="str">
        <f>IFERROR(IF(COUNTIF($C$8:$C$20,"&lt;0")&lt;3,"",INDEX($D$8:$D$20,MATCH(LARGE($Z$8:$Z$20,3),$Z$8:$Z$20,0))),"")</f>
        <v>Owner Activity</v>
      </c>
      <c r="E35" s="100"/>
    </row>
    <row r="36" spans="2:5" ht="18.75" customHeight="1" x14ac:dyDescent="0.35">
      <c r="B36" s="34" t="str">
        <f>IFERROR(IF(COUNTIF($C$8:$C$20,"&lt;0")&lt;4,"",INDEX($B$8:$B$20,MATCH(LARGE($Z$8:$Z$20,4),$Z$8:$Z$20,0))),"")</f>
        <v>Inventory</v>
      </c>
      <c r="C36" s="50">
        <f>IFERROR(IF(COUNTIF($C$8:$C$20,"&lt;0")&lt;4,"",ABS(INDEX($C$8:$C$20,MATCH(LARGE($Z$8:$Z$20,4),$Z$8:$Z$20,0)))),"")</f>
        <v>26000</v>
      </c>
      <c r="D36" s="61" t="str">
        <f>IFERROR(IF(COUNTIF($C$8:$C$20,"&lt;0")&lt;4,"",INDEX($D$8:$D$20,MATCH(LARGE($Z$8:$Z$20,4),$Z$8:$Z$20,0))),"")</f>
        <v>Working Capital</v>
      </c>
      <c r="E36" s="100"/>
    </row>
    <row r="37" spans="2:5" ht="18.75" customHeight="1" x14ac:dyDescent="0.35">
      <c r="B37" s="34" t="str">
        <f>IFERROR(IF(COUNTIF($C$8:$C$20,"&lt;0")&lt;5,"",INDEX($B$8:$B$20,MATCH(LARGE($Z$8:$Z$20,5),$Z$8:$Z$20,0))),"")</f>
        <v/>
      </c>
      <c r="C37" s="50" t="str">
        <f>IFERROR(IF(COUNTIF($C$8:$C$20,"&lt;0")&lt;5,"",ABS(INDEX($C$8:$C$20,MATCH(LARGE($Z$8:$Z$20,5),$Z$8:$Z$20,0)))),"")</f>
        <v/>
      </c>
      <c r="D37" s="61" t="str">
        <f>IFERROR(IF(COUNTIF($C$8:$C$20,"&lt;0")&lt;5,"",INDEX($D$8:$D$20,MATCH(LARGE($Z$8:$Z$20,5),$Z$8:$Z$20,0))),"")</f>
        <v/>
      </c>
      <c r="E37" s="100"/>
    </row>
    <row r="39" spans="2:5" ht="19.5" customHeight="1" x14ac:dyDescent="0.35">
      <c r="B39" s="96" t="s">
        <v>231</v>
      </c>
      <c r="C39" s="96"/>
      <c r="D39" s="96" t="s">
        <v>232</v>
      </c>
      <c r="E39" s="96"/>
    </row>
    <row r="40" spans="2:5" ht="19.5" customHeight="1" x14ac:dyDescent="0.35">
      <c r="B40" s="49" t="s">
        <v>233</v>
      </c>
      <c r="C40" s="50">
        <f>IFERROR('PROFIT TO CASH BRIDGE'!$C$23,0)</f>
        <v>60600</v>
      </c>
      <c r="D40" s="100" t="s">
        <v>234</v>
      </c>
      <c r="E40" s="100"/>
    </row>
    <row r="41" spans="2:5" ht="19.5" customHeight="1" x14ac:dyDescent="0.35">
      <c r="B41" s="49" t="s">
        <v>235</v>
      </c>
      <c r="C41" s="50">
        <f>IFERROR('FINANCIAL INPUTS'!$C$51+'FINANCIAL INPUTS'!$C$57,0)</f>
        <v>118000</v>
      </c>
      <c r="D41" s="100"/>
      <c r="E41" s="100"/>
    </row>
    <row r="42" spans="2:5" ht="19.5" customHeight="1" x14ac:dyDescent="0.35">
      <c r="B42" s="49" t="s">
        <v>236</v>
      </c>
      <c r="C42" s="50">
        <f>IFERROR('FINANCIAL INPUTS'!$C$53-'FINANCIAL INPUTS'!$C$54,0)</f>
        <v>26600</v>
      </c>
      <c r="D42" s="100"/>
      <c r="E42" s="100"/>
    </row>
    <row r="43" spans="2:5" ht="19.5" customHeight="1" x14ac:dyDescent="0.35">
      <c r="B43" s="49" t="s">
        <v>237</v>
      </c>
      <c r="C43" s="50">
        <f>IFERROR('FINANCIAL INPUTS'!$C$55-'FINANCIAL INPUTS'!$C$56,0)</f>
        <v>-42000</v>
      </c>
      <c r="D43" s="100"/>
      <c r="E43" s="100"/>
    </row>
    <row r="44" spans="2:5" ht="19.5" customHeight="1" x14ac:dyDescent="0.35">
      <c r="B44" s="51" t="s">
        <v>98</v>
      </c>
      <c r="C44" s="60">
        <f>IFERROR('FINANCIAL INPUTS'!$C$31,0)</f>
        <v>-58800</v>
      </c>
      <c r="D44" s="100"/>
      <c r="E44" s="100"/>
    </row>
    <row r="46" spans="2:5" ht="21.75" customHeight="1" x14ac:dyDescent="0.35">
      <c r="B46" s="40" t="s">
        <v>238</v>
      </c>
      <c r="C46" s="115" t="str">
        <f>IFERROR(IF(COUNTIF($C$8:$C$20,"&gt;0")=0,"None",INDEX($B$8:$B$20,MATCH(MAX($Y$8:$Y$20),$Y$8:$Y$20,0))&amp;"   "&amp;TEXT(ABS(INDEX($C$8:$C$20,MATCH(MAX($Y$8:$Y$20),$Y$8:$Y$20,0))),"$#,##0")),"None")</f>
        <v>Non-Cash Adjustments   $94,000</v>
      </c>
      <c r="D46" s="115"/>
      <c r="E46" s="115"/>
    </row>
    <row r="47" spans="2:5" ht="21.75" customHeight="1" x14ac:dyDescent="0.35">
      <c r="B47" s="40" t="s">
        <v>239</v>
      </c>
      <c r="C47" s="115" t="str">
        <f>IFERROR(IF(COUNTIF($C$8:$C$20,"&lt;0")=0,"None",INDEX($B$8:$B$20,MATCH(MAX($Z$8:$Z$20),$Z$8:$Z$20,0))&amp;"   "&amp;TEXT(ABS(INDEX($C$8:$C$20,MATCH(MAX($Z$8:$Z$20),$Z$8:$Z$20,0))),"$#,##0")),"None")</f>
        <v>Accounts Receivable   $158,000</v>
      </c>
      <c r="D47" s="115"/>
      <c r="E47" s="115"/>
    </row>
    <row r="49" spans="2:5" ht="18" customHeight="1" x14ac:dyDescent="0.35">
      <c r="B49" s="95" t="s">
        <v>172</v>
      </c>
      <c r="C49" s="95"/>
      <c r="D49" s="95"/>
      <c r="E49" s="95"/>
    </row>
  </sheetData>
  <sheetProtection sheet="1" formatCells="0" sort="0" autoFilter="0"/>
  <mergeCells count="16">
    <mergeCell ref="B49:E49"/>
    <mergeCell ref="B39:C39"/>
    <mergeCell ref="D39:E39"/>
    <mergeCell ref="D40:E44"/>
    <mergeCell ref="C46:E46"/>
    <mergeCell ref="C47:E47"/>
    <mergeCell ref="D21:E21"/>
    <mergeCell ref="B23:E23"/>
    <mergeCell ref="E25:E29"/>
    <mergeCell ref="B31:E31"/>
    <mergeCell ref="E33:E37"/>
    <mergeCell ref="B1:F1"/>
    <mergeCell ref="B2:C2"/>
    <mergeCell ref="D2:E2"/>
    <mergeCell ref="B3:E3"/>
    <mergeCell ref="B6:E6"/>
  </mergeCells>
  <pageMargins left="0.75" right="0.75" top="1" bottom="1" header="0.511811023622047" footer="0.511811023622047"/>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36"/>
  <sheetViews>
    <sheetView showGridLines="0" zoomScaleNormal="100" workbookViewId="0"/>
  </sheetViews>
  <sheetFormatPr defaultColWidth="8.6328125" defaultRowHeight="14.5" x14ac:dyDescent="0.35"/>
  <cols>
    <col min="1" max="1" width="3" customWidth="1"/>
    <col min="2" max="2" width="4" customWidth="1"/>
    <col min="3" max="3" width="42" customWidth="1"/>
    <col min="4" max="4" width="74" customWidth="1"/>
    <col min="5" max="5" width="3" customWidth="1"/>
    <col min="25" max="25" width="12" customWidth="1"/>
    <col min="26" max="26" width="90" customWidth="1"/>
    <col min="27" max="27" width="10" customWidth="1"/>
    <col min="28" max="28" width="80" customWidth="1"/>
  </cols>
  <sheetData>
    <row r="1" spans="1:28" ht="13.5" customHeight="1" x14ac:dyDescent="0.35">
      <c r="A1" s="15"/>
      <c r="B1" s="86" t="s">
        <v>0</v>
      </c>
      <c r="C1" s="86"/>
      <c r="D1" s="86"/>
      <c r="E1" s="86"/>
    </row>
    <row r="2" spans="1:28" ht="27.75" customHeight="1" x14ac:dyDescent="0.35">
      <c r="A2" s="15"/>
      <c r="B2" s="87" t="s">
        <v>240</v>
      </c>
      <c r="C2" s="87"/>
      <c r="D2" s="17" t="str">
        <f>IFERROR('FINANCIAL INPUTS'!$C$9&amp;"     ·     FICTIONAL EXAMPLE DATA","")</f>
        <v>Year ended June 30, 2026     ·     FICTIONAL EXAMPLE DATA</v>
      </c>
      <c r="E2" s="15"/>
    </row>
    <row r="3" spans="1:28" ht="15.75" customHeight="1" x14ac:dyDescent="0.35">
      <c r="A3" s="15"/>
      <c r="B3" s="89" t="s">
        <v>241</v>
      </c>
      <c r="C3" s="89"/>
      <c r="D3" s="89"/>
      <c r="E3" s="15"/>
    </row>
    <row r="4" spans="1:28" ht="7.5" customHeight="1" x14ac:dyDescent="0.35">
      <c r="A4" s="15"/>
      <c r="B4" s="15"/>
      <c r="C4" s="15"/>
      <c r="D4" s="15"/>
      <c r="E4" s="15"/>
    </row>
    <row r="5" spans="1:28" ht="7.5" customHeight="1" x14ac:dyDescent="0.35"/>
    <row r="6" spans="1:28" ht="15.75" customHeight="1" x14ac:dyDescent="0.35">
      <c r="B6" s="106" t="s">
        <v>242</v>
      </c>
      <c r="C6" s="106"/>
      <c r="D6" s="106"/>
      <c r="Y6" s="47">
        <f>IFERROR(IFERROR(MAX(0,-'CASH DRIVERS'!$C$10),0)-ROW()/100000,0)</f>
        <v>157999.99994000001</v>
      </c>
      <c r="Z6" s="53" t="str">
        <f>IFERROR("Accounts receivable absorbed "&amp;TEXT(ABS('CASH DRIVERS'!$C$10),"$#,##0;($#,##0)")&amp;" of cash during the period. Are customer collections taking longer, or did sales growth increase outstanding receivables?","")</f>
        <v>Accounts receivable absorbed $158,000 of cash during the period. Are customer collections taking longer, or did sales growth increase outstanding receivables?</v>
      </c>
      <c r="AA6" s="64">
        <f>IFERROR(IF('PROFIT TO CASH BRIDGE'!$C$23&gt;0,7,0),0)</f>
        <v>7</v>
      </c>
      <c r="AB6" s="53" t="str">
        <f>IFERROR("Operations generated "&amp;TEXT('PROFIT TO CASH BRIDGE'!$C$23,"$#,##0;($#,##0)")&amp;" of cash during the period.","")</f>
        <v>Operations generated $60,600 of cash during the period.</v>
      </c>
    </row>
    <row r="7" spans="1:28" ht="19.5" customHeight="1" x14ac:dyDescent="0.35">
      <c r="B7" s="116" t="str">
        <f>IFERROR("The business reported "&amp;IF('FINANCIAL INPUTS'!$C$23&lt;0,"a net loss of "&amp;TEXT(ABS('FINANCIAL INPUTS'!$C$23),"$#,##0"),TEXT('FINANCIAL INPUTS'!$C$23,"$#,##0")&amp;" of net profit")&amp;" for the period and its cash balance "&amp;IF(ROUND('FINANCIAL INPUTS'!$C$31,0)=0,"was unchanged",IF('FINANCIAL INPUTS'!$C$31&gt;0,"rose by ","fell by ")&amp;TEXT(ABS('FINANCIAL INPUTS'!$C$31),"$#,##0"))&amp;". Estimated cash from operations was "&amp;TEXT('PROFIT TO CASH BRIDGE'!$C$23,"$#,##0;($#,##0)")&amp;". The questions below follow the largest movements between those figures.","")</f>
        <v>The business reported $93,400 of net profit for the period and its cash balance fell by $58,800. Estimated cash from operations was $60,600. The questions below follow the largest movements between those figures.</v>
      </c>
      <c r="C7" s="116"/>
      <c r="D7" s="116"/>
      <c r="Y7" s="47">
        <f>IFERROR(IFERROR(MAX(0,-'CASH DRIVERS'!$C$11),0)-ROW()/100000,0)</f>
        <v>25999.999930000002</v>
      </c>
      <c r="Z7" s="53" t="str">
        <f>IFERROR("Inventory increased and absorbed "&amp;TEXT(ABS('CASH DRIVERS'!$C$11),"$#,##0;($#,##0)")&amp;" of cash. Was this intentional to support expected demand, or is inventory turning more slowly?","")</f>
        <v>Inventory increased and absorbed $26,000 of cash. Was this intentional to support expected demand, or is inventory turning more slowly?</v>
      </c>
      <c r="AA7" s="64">
        <f>IFERROR(IF('PROFIT TO CASH BRIDGE'!$E$12="Reconciled",6,0),0)</f>
        <v>6</v>
      </c>
      <c r="AB7" s="53" t="str">
        <f>"Calculated and actual cash movement agree, based on the information entered."</f>
        <v>Calculated and actual cash movement agree, based on the information entered.</v>
      </c>
    </row>
    <row r="8" spans="1:28" ht="19.5" customHeight="1" x14ac:dyDescent="0.35">
      <c r="B8" s="116"/>
      <c r="C8" s="116"/>
      <c r="D8" s="116"/>
      <c r="Y8" s="47">
        <f>IFERROR(IFERROR(MAX(0,'CASH DRIVERS'!$C$13),0)-ROW()/100000,0)</f>
        <v>44999.999920000002</v>
      </c>
      <c r="Z8" s="53" t="str">
        <f>IFERROR("Accounts payable increased and helped preserve "&amp;TEXT('CASH DRIVERS'!$C$13,"$#,##0;($#,##0)")&amp;" of cash. Is this normal timing, negotiated supplier terms, or slower payments?","")</f>
        <v>Accounts payable increased and helped preserve $45,000 of cash. Is this normal timing, negotiated supplier terms, or slower payments?</v>
      </c>
      <c r="AA8" s="64">
        <f>IFERROR(IF('CASH DRIVERS'!$C$10&gt;0,5,0),0)</f>
        <v>0</v>
      </c>
      <c r="AB8" s="53" t="str">
        <f>IFERROR("Receivables released "&amp;TEXT('CASH DRIVERS'!$C$10,"$#,##0;($#,##0)")&amp;" of cash during the period.","")</f>
        <v>Receivables released ($158,000) of cash during the period.</v>
      </c>
    </row>
    <row r="9" spans="1:28" x14ac:dyDescent="0.35">
      <c r="Y9" s="47">
        <f>IFERROR(IFERROR(MAX(0,'FINANCIAL INPUTS'!$C$51),0)-ROW()/100000,0)</f>
        <v>117999.99991</v>
      </c>
      <c r="Z9" s="53" t="str">
        <f>IFERROR("Capital expenditures used "&amp;TEXT('FINANCIAL INPUTS'!$C$51,"$#,##0;($#,##0)")&amp;" of cash during the period. Were these investments planned, and what operating or financial benefit are they expected to support?","")</f>
        <v>Capital expenditures used $118,000 of cash during the period. Were these investments planned, and what operating or financial benefit are they expected to support?</v>
      </c>
      <c r="AA9" s="64">
        <f>IFERROR(IF('WORKING CAPITAL'!$F$17&gt;0,4,0),0)</f>
        <v>0</v>
      </c>
      <c r="AB9" s="53" t="str">
        <f>IFERROR("Operating working capital released "&amp;TEXT('WORKING CAPITAL'!$F$17,"$#,##0;($#,##0)")&amp;" of cash over the period.","")</f>
        <v>Operating working capital released ($126,800) of cash over the period.</v>
      </c>
    </row>
    <row r="10" spans="1:28" ht="18" customHeight="1" x14ac:dyDescent="0.35">
      <c r="B10" s="117" t="str">
        <f>IFERROR(IF('PROFIT TO CASH BRIDGE'!$E$12="Reconciled","RECONCILED — the calculated change in cash agrees with the actual change in cash, based on the information entered.","DIFFERENCE IDENTIFIED — calculated and actual cash movement differ by "&amp;TEXT(ABS('PROFIT TO CASH BRIDGE'!$C$43),"$#,##0;($#,##0)")&amp;". Are any balance-sheet changes, investing activities, financing transactions or other cash movements missing from the inputs?"),"")</f>
        <v>RECONCILED — the calculated change in cash agrees with the actual change in cash, based on the information entered.</v>
      </c>
      <c r="C10" s="117"/>
      <c r="D10" s="117"/>
      <c r="Y10" s="47">
        <f>IFERROR(IFERROR(MAX(0,'FINANCIAL INPUTS'!$C$54),0)-ROW()/100000,0)</f>
        <v>68399.999899999995</v>
      </c>
      <c r="Z10" s="53" t="str">
        <f>IFERROR("Debt principal repayments reduced cash by "&amp;TEXT('FINANCIAL INPUTS'!$C$54,"$#,##0;($#,##0)")&amp;" during the period. Is the current repayment schedule aligned with the business's liquidity needs?","")</f>
        <v>Debt principal repayments reduced cash by $68,400 during the period. Is the current repayment schedule aligned with the business's liquidity needs?</v>
      </c>
      <c r="AA10" s="64">
        <f>IFERROR(IF(AND('FINANCIAL INPUTS'!$C$51&gt;0,'CASH DRIVERS'!$C$42&lt;=0),3,0),0)</f>
        <v>0</v>
      </c>
      <c r="AB10" s="53" t="str">
        <f>IFERROR("The business funded "&amp;TEXT('FINANCIAL INPUTS'!$C$51,"$#,##0;($#,##0)")&amp;" of capital expenditures without increasing net debt.","")</f>
        <v>The business funded $118,000 of capital expenditures without increasing net debt.</v>
      </c>
    </row>
    <row r="11" spans="1:28" ht="18" customHeight="1" x14ac:dyDescent="0.35">
      <c r="B11" s="117"/>
      <c r="C11" s="117"/>
      <c r="D11" s="117"/>
      <c r="Y11" s="47">
        <f>IFERROR(IFERROR(MAX(0,'FINANCIAL INPUTS'!$C$56),0)-ROW()/100000,0)</f>
        <v>41999.999889999999</v>
      </c>
      <c r="Z11" s="53" t="str">
        <f>IFERROR("Owner distributions reduced business cash by "&amp;TEXT('FINANCIAL INPUTS'!$C$56,"$#,##0;($#,##0)")&amp;" during the period but did not reduce accounting profit. How do distributions compare with the "&amp;TEXT('PROFIT TO CASH BRIDGE'!$C$23,"$#,##0;($#,##0)")&amp;" of cash generated from operations?","")</f>
        <v>Owner distributions reduced business cash by $42,000 during the period but did not reduce accounting profit. How do distributions compare with the $60,600 of cash generated from operations?</v>
      </c>
      <c r="AA11" s="64">
        <f>IFERROR(IF(AND('FINANCIAL INPUTS'!$C$31&gt;0,'FINANCIAL INPUTS'!$C$53=0),2,0),0)</f>
        <v>0</v>
      </c>
      <c r="AB11" s="53" t="str">
        <f>"Cash increased over the period without relying on new borrowing."</f>
        <v>Cash increased over the period without relying on new borrowing.</v>
      </c>
    </row>
    <row r="12" spans="1:28" x14ac:dyDescent="0.35">
      <c r="Y12" s="47">
        <f>IFERROR(IFERROR(IF(AND('FINANCIAL INPUTS'!$C$23&gt;0,'PROFIT TO CASH BRIDGE'!$C$23&lt;'FINANCIAL INPUTS'!$C$23),'FINANCIAL INPUTS'!$C$23-'PROFIT TO CASH BRIDGE'!$C$23,0),0)-ROW()/100000,0)</f>
        <v>32799.999880000003</v>
      </c>
      <c r="Z12" s="53" t="str">
        <f>IFERROR("Net profit was "&amp;TEXT('FINANCIAL INPUTS'!$C$23,"$#,##0;($#,##0)")&amp;" but estimated cash from operations was "&amp;TEXT('PROFIT TO CASH BRIDGE'!$C$23,"$#,##0;($#,##0)")&amp;". What held profit back from converting into operating cash during the period?","")</f>
        <v>Net profit was $93,400 but estimated cash from operations was $60,600. What held profit back from converting into operating cash during the period?</v>
      </c>
      <c r="AA12" s="64">
        <f>IFERROR(IF('CASH DRIVERS'!$C$13+'CASH DRIVERS'!$C$14&gt;0,1,0),0)</f>
        <v>1</v>
      </c>
      <c r="AB12" s="53" t="str">
        <f>IFERROR("Payables and other operating liabilities preserved "&amp;TEXT('CASH DRIVERS'!$C$13+'CASH DRIVERS'!$C$14,"$#,##0;($#,##0)")&amp;" of cash at period end.","")</f>
        <v>Payables and other operating liabilities preserved $53,700 of cash at period end.</v>
      </c>
    </row>
    <row r="13" spans="1:28" ht="19.5" customHeight="1" x14ac:dyDescent="0.35">
      <c r="B13" s="96" t="s">
        <v>243</v>
      </c>
      <c r="C13" s="96"/>
      <c r="D13" s="96"/>
      <c r="Y13" s="47">
        <f>IFERROR(IFERROR(IF('FINANCIAL INPUTS'!$C$53&gt;'PROFIT TO CASH BRIDGE'!$C$23,'FINANCIAL INPUTS'!$C$53,0),0)-ROW()/100000,0)</f>
        <v>94999.99987</v>
      </c>
      <c r="Z13" s="53" t="str">
        <f>IFERROR("New borrowing of "&amp;TEXT('FINANCIAL INPUTS'!$C$53,"$#,##0;($#,##0)")&amp;" exceeded the "&amp;TEXT('PROFIT TO CASH BRIDGE'!$C$23,"$#,##0;($#,##0)")&amp;" of cash generated from operations. What is the borrowing funding, and how is it expected to be serviced?","")</f>
        <v>New borrowing of $95,000 exceeded the $60,600 of cash generated from operations. What is the borrowing funding, and how is it expected to be serviced?</v>
      </c>
    </row>
    <row r="14" spans="1:28" ht="30" customHeight="1" x14ac:dyDescent="0.35">
      <c r="B14" s="65" t="str">
        <f>IFERROR(IF(COUNTIF($Y$6:$Y$15,"&gt;0")&lt;1,"","1."),"")</f>
        <v>1.</v>
      </c>
      <c r="C14" s="118" t="str">
        <f>IFERROR(IF(COUNTIF($Y$6:$Y$15,"&gt;0")&lt;1,"",INDEX($Z$6:$Z$15,MATCH(LARGE($Y$6:$Y$15,1),$Y$6:$Y$15,0))),"")</f>
        <v>Accounts receivable absorbed $158,000 of cash during the period. Are customer collections taking longer, or did sales growth increase outstanding receivables?</v>
      </c>
      <c r="D14" s="118"/>
      <c r="Y14" s="47">
        <f>IFERROR(IFERROR(MAX(0,-'CASH DRIVERS'!$C$14),0)-ROW()/100000,0)</f>
        <v>-1.3999999999999999E-4</v>
      </c>
      <c r="Z14" s="53" t="str">
        <f>IFERROR("Accrued, payroll and sales tax balances came down and used "&amp;TEXT(ABS('CASH DRIVERS'!$C$14),"$#,##0;($#,##0)")&amp;" of cash. Was this ordinary timing at period end, or a change in how these balances are settled?","")</f>
        <v>Accrued, payroll and sales tax balances came down and used $8,700 of cash. Was this ordinary timing at period end, or a change in how these balances are settled?</v>
      </c>
    </row>
    <row r="15" spans="1:28" ht="30" customHeight="1" x14ac:dyDescent="0.35">
      <c r="B15" s="66" t="str">
        <f>IFERROR(IF(COUNTIF($Y$6:$Y$15,"&gt;0")&lt;2,"","2."),"")</f>
        <v>2.</v>
      </c>
      <c r="C15" s="119" t="str">
        <f>IFERROR(IF(COUNTIF($Y$6:$Y$15,"&gt;0")&lt;2,"",INDEX($Z$6:$Z$15,MATCH(LARGE($Y$6:$Y$15,2),$Y$6:$Y$15,0))),"")</f>
        <v>Capital expenditures used $118,000 of cash during the period. Were these investments planned, and what operating or financial benefit are they expected to support?</v>
      </c>
      <c r="D15" s="119"/>
      <c r="Y15" s="47">
        <f>IFERROR(IFERROR(MAX(0,-'CASH DRIVERS'!$C$12),0)-ROW()/100000,0)</f>
        <v>-1.4999999999999999E-4</v>
      </c>
      <c r="Z15" s="53" t="str">
        <f>IFERROR("Prepaid and other operating assets grew and absorbed "&amp;TEXT(ABS('CASH DRIVERS'!$C$12),"$#,##0")&amp;" of cash. What was paid for in advance, and does it repeat next period?","")</f>
        <v>Prepaid and other operating assets grew and absorbed $3,500 of cash. What was paid for in advance, and does it repeat next period?</v>
      </c>
    </row>
    <row r="16" spans="1:28" ht="30" customHeight="1" x14ac:dyDescent="0.35">
      <c r="B16" s="67" t="str">
        <f>IFERROR(IF(COUNTIF($Y$6:$Y$15,"&gt;0")&lt;3,"","3."),"")</f>
        <v>3.</v>
      </c>
      <c r="C16" s="120" t="str">
        <f>IFERROR(IF(COUNTIF($Y$6:$Y$15,"&gt;0")&lt;3,"",INDEX($Z$6:$Z$15,MATCH(LARGE($Y$6:$Y$15,3),$Y$6:$Y$15,0))),"")</f>
        <v>New borrowing of $95,000 exceeded the $60,600 of cash generated from operations. What is the borrowing funding, and how is it expected to be serviced?</v>
      </c>
      <c r="D16" s="120"/>
    </row>
    <row r="17" spans="2:4" ht="30" customHeight="1" x14ac:dyDescent="0.35">
      <c r="B17" s="66" t="str">
        <f>IFERROR(IF(COUNTIF($Y$6:$Y$15,"&gt;0")&lt;4,"","4."),"")</f>
        <v>4.</v>
      </c>
      <c r="C17" s="119" t="str">
        <f>IFERROR(IF(COUNTIF($Y$6:$Y$15,"&gt;0")&lt;4,"",INDEX($Z$6:$Z$15,MATCH(LARGE($Y$6:$Y$15,4),$Y$6:$Y$15,0))),"")</f>
        <v>Debt principal repayments reduced cash by $68,400 during the period. Is the current repayment schedule aligned with the business's liquidity needs?</v>
      </c>
      <c r="D17" s="119"/>
    </row>
    <row r="18" spans="2:4" ht="30" customHeight="1" x14ac:dyDescent="0.35">
      <c r="B18" s="67" t="str">
        <f>IFERROR(IF(COUNTIF($Y$6:$Y$15,"&gt;0")&lt;5,"","5."),"")</f>
        <v>5.</v>
      </c>
      <c r="C18" s="120" t="str">
        <f>IFERROR(IF(COUNTIF($Y$6:$Y$15,"&gt;0")&lt;5,"",INDEX($Z$6:$Z$15,MATCH(LARGE($Y$6:$Y$15,5),$Y$6:$Y$15,0))),"")</f>
        <v>Accounts payable increased and helped preserve $45,000 of cash. Is this normal timing, negotiated supplier terms, or slower payments?</v>
      </c>
      <c r="D18" s="120"/>
    </row>
    <row r="19" spans="2:4" ht="30" customHeight="1" x14ac:dyDescent="0.35">
      <c r="B19" s="68" t="str">
        <f>IFERROR(IF(COUNTIF($Y$6:$Y$15,"&gt;0")&lt;6,"","6."),"")</f>
        <v>6.</v>
      </c>
      <c r="C19" s="121" t="str">
        <f>IFERROR(IF(COUNTIF($Y$6:$Y$15,"&gt;0")&lt;6,"",INDEX($Z$6:$Z$15,MATCH(LARGE($Y$6:$Y$15,6),$Y$6:$Y$15,0))),"")</f>
        <v>Owner distributions reduced business cash by $42,000 during the period but did not reduce accounting profit. How do distributions compare with the $60,600 of cash generated from operations?</v>
      </c>
      <c r="D19" s="121"/>
    </row>
    <row r="20" spans="2:4" ht="18" customHeight="1" x14ac:dyDescent="0.35">
      <c r="B20" s="122" t="s">
        <v>244</v>
      </c>
      <c r="C20" s="122"/>
      <c r="D20" s="122"/>
    </row>
    <row r="22" spans="2:4" ht="19.5" customHeight="1" x14ac:dyDescent="0.35">
      <c r="B22" s="98" t="s">
        <v>245</v>
      </c>
      <c r="C22" s="98"/>
      <c r="D22" s="98"/>
    </row>
    <row r="23" spans="2:4" ht="19.5" customHeight="1" x14ac:dyDescent="0.35">
      <c r="B23" s="69" t="str">
        <f>IFERROR(IF(COUNTIF($AA$6:$AA$12,"&gt;0")&lt;1,"","▪"),"")</f>
        <v>▪</v>
      </c>
      <c r="C23" s="123" t="str">
        <f>IFERROR(IF(COUNTIF($AA$6:$AA$12,"&gt;0")&lt;1,"",INDEX($AB$6:$AB$12,MATCH(LARGE($AA$6:$AA$12,1),$AA$6:$AA$12,0))),"")</f>
        <v>Operations generated $60,600 of cash during the period.</v>
      </c>
      <c r="D23" s="123"/>
    </row>
    <row r="24" spans="2:4" ht="19.5" customHeight="1" x14ac:dyDescent="0.35">
      <c r="B24" s="70" t="str">
        <f>IFERROR(IF(COUNTIF($AA$6:$AA$12,"&gt;0")&lt;2,"","▪"),"")</f>
        <v>▪</v>
      </c>
      <c r="C24" s="119" t="str">
        <f>IFERROR(IF(COUNTIF($AA$6:$AA$12,"&gt;0")&lt;2,"",INDEX($AB$6:$AB$12,MATCH(LARGE($AA$6:$AA$12,2),$AA$6:$AA$12,0))),"")</f>
        <v>Calculated and actual cash movement agree, based on the information entered.</v>
      </c>
      <c r="D24" s="119"/>
    </row>
    <row r="25" spans="2:4" ht="19.5" customHeight="1" x14ac:dyDescent="0.35">
      <c r="B25" s="71" t="str">
        <f>IFERROR(IF(COUNTIF($AA$6:$AA$12,"&gt;0")&lt;3,"","▪"),"")</f>
        <v>▪</v>
      </c>
      <c r="C25" s="121" t="str">
        <f>IFERROR(IF(COUNTIF($AA$6:$AA$12,"&gt;0")&lt;3,"",INDEX($AB$6:$AB$12,MATCH(LARGE($AA$6:$AA$12,3),$AA$6:$AA$12,0))),"")</f>
        <v>Payables and other operating liabilities preserved $53,700 of cash at period end.</v>
      </c>
      <c r="D25" s="121"/>
    </row>
    <row r="26" spans="2:4" ht="18" customHeight="1" x14ac:dyDescent="0.35">
      <c r="B26" s="122" t="s">
        <v>246</v>
      </c>
      <c r="C26" s="122"/>
      <c r="D26" s="122"/>
    </row>
    <row r="28" spans="2:4" ht="19.5" customHeight="1" x14ac:dyDescent="0.35">
      <c r="B28" s="96" t="s">
        <v>247</v>
      </c>
      <c r="C28" s="96"/>
      <c r="D28" s="96"/>
    </row>
    <row r="29" spans="2:4" ht="19.5" customHeight="1" x14ac:dyDescent="0.35">
      <c r="C29" s="18" t="s">
        <v>248</v>
      </c>
      <c r="D29" s="18" t="s">
        <v>249</v>
      </c>
    </row>
    <row r="30" spans="2:4" ht="25.5" customHeight="1" x14ac:dyDescent="0.35">
      <c r="C30" s="72" t="s">
        <v>250</v>
      </c>
      <c r="D30" s="73" t="s">
        <v>251</v>
      </c>
    </row>
    <row r="31" spans="2:4" ht="25.5" customHeight="1" x14ac:dyDescent="0.35">
      <c r="C31" s="72" t="s">
        <v>252</v>
      </c>
      <c r="D31" s="73" t="s">
        <v>253</v>
      </c>
    </row>
    <row r="32" spans="2:4" ht="25.5" customHeight="1" x14ac:dyDescent="0.35">
      <c r="C32" s="72" t="s">
        <v>254</v>
      </c>
      <c r="D32" s="73" t="s">
        <v>255</v>
      </c>
    </row>
    <row r="33" spans="2:4" ht="25.5" customHeight="1" x14ac:dyDescent="0.35">
      <c r="C33" s="72" t="s">
        <v>256</v>
      </c>
      <c r="D33" s="73" t="s">
        <v>257</v>
      </c>
    </row>
    <row r="34" spans="2:4" ht="25.5" customHeight="1" x14ac:dyDescent="0.35">
      <c r="C34" s="72" t="s">
        <v>258</v>
      </c>
      <c r="D34" s="73" t="s">
        <v>259</v>
      </c>
    </row>
    <row r="36" spans="2:4" ht="27.75" customHeight="1" x14ac:dyDescent="0.35">
      <c r="B36" s="113" t="s">
        <v>260</v>
      </c>
      <c r="C36" s="113"/>
      <c r="D36" s="113"/>
    </row>
  </sheetData>
  <sheetProtection sheet="1" formatCells="0" sort="0" autoFilter="0"/>
  <mergeCells count="21">
    <mergeCell ref="B36:D36"/>
    <mergeCell ref="C23:D23"/>
    <mergeCell ref="C24:D24"/>
    <mergeCell ref="C25:D25"/>
    <mergeCell ref="B26:D26"/>
    <mergeCell ref="B28:D28"/>
    <mergeCell ref="C17:D17"/>
    <mergeCell ref="C18:D18"/>
    <mergeCell ref="C19:D19"/>
    <mergeCell ref="B20:D20"/>
    <mergeCell ref="B22:D22"/>
    <mergeCell ref="B10:D11"/>
    <mergeCell ref="B13:D13"/>
    <mergeCell ref="C14:D14"/>
    <mergeCell ref="C15:D15"/>
    <mergeCell ref="C16:D16"/>
    <mergeCell ref="B1:E1"/>
    <mergeCell ref="B2:C2"/>
    <mergeCell ref="B3:D3"/>
    <mergeCell ref="B6:D6"/>
    <mergeCell ref="B7:D8"/>
  </mergeCells>
  <pageMargins left="0.75" right="0.75" top="1" bottom="1" header="0.511811023622047" footer="0.511811023622047"/>
  <pageSetup fitToHeight="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71"/>
  <sheetViews>
    <sheetView showGridLines="0" zoomScale="85" zoomScaleNormal="85" workbookViewId="0"/>
  </sheetViews>
  <sheetFormatPr defaultColWidth="8.6328125" defaultRowHeight="14.5" x14ac:dyDescent="0.35"/>
  <cols>
    <col min="1" max="1" width="2.1796875" customWidth="1"/>
    <col min="2" max="21" width="5.7265625" customWidth="1"/>
    <col min="22" max="22" width="2.1796875" customWidth="1"/>
    <col min="24" max="24" width="2" customWidth="1"/>
    <col min="25" max="25" width="20" customWidth="1"/>
    <col min="26" max="26" width="12" customWidth="1"/>
  </cols>
  <sheetData>
    <row r="1" spans="1:26" ht="15.75" customHeight="1" x14ac:dyDescent="0.35">
      <c r="A1" s="15"/>
      <c r="B1" s="86" t="s">
        <v>0</v>
      </c>
      <c r="C1" s="86"/>
      <c r="D1" s="86"/>
      <c r="E1" s="86"/>
      <c r="F1" s="86"/>
      <c r="G1" s="86"/>
      <c r="H1" s="86"/>
      <c r="I1" s="86"/>
      <c r="J1" s="86"/>
      <c r="K1" s="86"/>
      <c r="L1" s="86"/>
      <c r="M1" s="86"/>
      <c r="N1" s="86"/>
      <c r="O1" s="86"/>
      <c r="P1" s="86"/>
      <c r="Q1" s="86"/>
      <c r="R1" s="86"/>
      <c r="S1" s="86"/>
      <c r="T1" s="86"/>
      <c r="U1" s="86"/>
      <c r="V1" s="15"/>
    </row>
    <row r="2" spans="1:26" ht="27.75" customHeight="1" x14ac:dyDescent="0.35">
      <c r="A2" s="15"/>
      <c r="B2" s="87" t="s">
        <v>1</v>
      </c>
      <c r="C2" s="87"/>
      <c r="D2" s="87"/>
      <c r="E2" s="87"/>
      <c r="F2" s="87"/>
      <c r="G2" s="87"/>
      <c r="H2" s="87"/>
      <c r="I2" s="87"/>
      <c r="J2" s="87"/>
      <c r="K2" s="124" t="str">
        <f>IFERROR('FINANCIAL INPUTS'!$C$8&amp;"   ·   "&amp;'FINANCIAL INPUTS'!$C$9,"")</f>
        <v>Ridgeline Mechanical Ltd.   ·   Year ended June 30, 2026</v>
      </c>
      <c r="L2" s="124"/>
      <c r="M2" s="124"/>
      <c r="N2" s="124"/>
      <c r="O2" s="124"/>
      <c r="P2" s="124"/>
      <c r="Q2" s="124"/>
      <c r="R2" s="124"/>
      <c r="S2" s="124"/>
      <c r="T2" s="124"/>
      <c r="U2" s="124"/>
      <c r="V2" s="15"/>
    </row>
    <row r="3" spans="1:26" ht="15" customHeight="1" x14ac:dyDescent="0.35">
      <c r="A3" s="15"/>
      <c r="B3" s="125" t="s">
        <v>261</v>
      </c>
      <c r="C3" s="125"/>
      <c r="D3" s="125"/>
      <c r="E3" s="125"/>
      <c r="F3" s="125"/>
      <c r="G3" s="125"/>
      <c r="H3" s="125"/>
      <c r="I3" s="125"/>
      <c r="J3" s="125"/>
      <c r="K3" s="125"/>
      <c r="L3" s="125"/>
      <c r="M3" s="125"/>
      <c r="N3" s="125"/>
      <c r="O3" s="125"/>
      <c r="P3" s="125"/>
      <c r="Q3" s="125"/>
      <c r="R3" s="125"/>
      <c r="S3" s="125"/>
      <c r="T3" s="125"/>
      <c r="U3" s="125"/>
      <c r="V3" s="15"/>
    </row>
    <row r="4" spans="1:26" ht="7.5" customHeight="1" x14ac:dyDescent="0.35"/>
    <row r="5" spans="1:26" ht="4.5" customHeight="1" x14ac:dyDescent="0.35">
      <c r="B5" s="126"/>
      <c r="C5" s="126"/>
      <c r="D5" s="126"/>
      <c r="E5" s="126"/>
      <c r="F5" s="126"/>
      <c r="G5" s="126"/>
      <c r="H5" s="126"/>
      <c r="I5" s="126"/>
      <c r="J5" s="127"/>
      <c r="K5" s="127"/>
      <c r="L5" s="127"/>
      <c r="M5" s="127"/>
      <c r="N5" s="127"/>
      <c r="O5" s="127"/>
      <c r="P5" s="127"/>
      <c r="Q5" s="127"/>
      <c r="R5" s="127"/>
      <c r="S5" s="127"/>
      <c r="T5" s="127"/>
      <c r="U5" s="127"/>
    </row>
    <row r="6" spans="1:26" ht="15" customHeight="1" x14ac:dyDescent="0.35">
      <c r="B6" s="128" t="s">
        <v>185</v>
      </c>
      <c r="C6" s="128"/>
      <c r="D6" s="128"/>
      <c r="E6" s="128"/>
      <c r="F6" s="128"/>
      <c r="G6" s="128"/>
      <c r="H6" s="128"/>
      <c r="I6" s="128"/>
      <c r="J6" s="128" t="s">
        <v>262</v>
      </c>
      <c r="K6" s="128"/>
      <c r="L6" s="128"/>
      <c r="M6" s="128"/>
      <c r="N6" s="128"/>
      <c r="O6" s="128"/>
      <c r="P6" s="128"/>
      <c r="Q6" s="128"/>
      <c r="R6" s="128"/>
      <c r="S6" s="128"/>
      <c r="T6" s="128"/>
      <c r="U6" s="128"/>
      <c r="Y6" s="53" t="s">
        <v>263</v>
      </c>
      <c r="Z6" s="54">
        <f>IFERROR(SUMIF('CASH DRIVERS'!$C$8:$C$20,"&gt;0"),0)</f>
        <v>285200</v>
      </c>
    </row>
    <row r="7" spans="1:26" ht="27.75" customHeight="1" x14ac:dyDescent="0.35">
      <c r="B7" s="129" t="str">
        <f>'PROFIT TO CASH BRIDGE'!$E$12</f>
        <v>Reconciled</v>
      </c>
      <c r="C7" s="129"/>
      <c r="D7" s="129"/>
      <c r="E7" s="129"/>
      <c r="F7" s="129"/>
      <c r="G7" s="129"/>
      <c r="H7" s="129"/>
      <c r="I7" s="129"/>
      <c r="J7" s="130" t="str">
        <f>IFERROR(IF('FINANCIAL INPUTS'!$C$23&lt;0,"Net loss of "&amp;TEXT(ABS('FINANCIAL INPUTS'!$C$23),"$#,##0"),"Net profit of "&amp;TEXT('FINANCIAL INPUTS'!$C$23,"$#,##0"))&amp;"; cash "&amp;IF(ROUND('FINANCIAL INPUTS'!$C$31,0)=0,"unchanged",IF('FINANCIAL INPUTS'!$C$31&gt;0,"up ","down ")&amp;TEXT(ABS('FINANCIAL INPUTS'!$C$31),"$#,##0"))&amp;". Working capital "&amp;IF('WORKING CAPITAL'!$F$17&gt;=0,"released ","absorbed ")&amp;TEXT(ABS('WORKING CAPITAL'!$F$17),"$#,##0")&amp;", investing "&amp;IF('PROFIT TO CASH BRIDGE'!$C$29&gt;=0,"added ","used ")&amp;TEXT(ABS('PROFIT TO CASH BRIDGE'!$C$29),"$#,##0")&amp;", financing and owner activity "&amp;IF('PROFIT TO CASH BRIDGE'!$C$35&gt;=0,"added ","used ")&amp;TEXT(ABS('PROFIT TO CASH BRIDGE'!$C$35),"$#,##0")&amp;".","")</f>
        <v>Net profit of $93,400; cash down $58,800. Working capital absorbed $126,800, investing used $104,000, financing and owner activity used $15,400.</v>
      </c>
      <c r="K7" s="130"/>
      <c r="L7" s="130"/>
      <c r="M7" s="130"/>
      <c r="N7" s="130"/>
      <c r="O7" s="130"/>
      <c r="P7" s="130"/>
      <c r="Q7" s="130"/>
      <c r="R7" s="130"/>
      <c r="S7" s="130"/>
      <c r="T7" s="130"/>
      <c r="U7" s="130"/>
      <c r="Y7" s="53" t="s">
        <v>264</v>
      </c>
      <c r="Z7" s="54">
        <f>IFERROR(ABS(SUMIF('CASH DRIVERS'!$C$8:$C$20,"&lt;0")),0)</f>
        <v>344000</v>
      </c>
    </row>
    <row r="8" spans="1:26" ht="3.75" customHeight="1" x14ac:dyDescent="0.35">
      <c r="B8" s="74"/>
      <c r="C8" s="75"/>
      <c r="D8" s="75"/>
      <c r="E8" s="75"/>
      <c r="F8" s="75"/>
      <c r="G8" s="75"/>
      <c r="H8" s="75"/>
      <c r="I8" s="76"/>
      <c r="J8" s="130"/>
      <c r="K8" s="130"/>
      <c r="L8" s="130"/>
      <c r="M8" s="130"/>
      <c r="N8" s="130"/>
      <c r="O8" s="130"/>
      <c r="P8" s="130"/>
      <c r="Q8" s="130"/>
      <c r="R8" s="130"/>
      <c r="S8" s="130"/>
      <c r="T8" s="130"/>
      <c r="U8" s="130"/>
    </row>
    <row r="9" spans="1:26" ht="15.75" customHeight="1" x14ac:dyDescent="0.35">
      <c r="B9" s="131" t="str">
        <f>IFERROR("Tolerance you set: "&amp;TEXT('PROFIT TO CASH BRIDGE'!$G$7,"$#,##0;($#,##0)")&amp;"     ·     Difference: "&amp;TEXT('PROFIT TO CASH BRIDGE'!$C$43,"$#,##0;($#,##0)"),"")</f>
        <v>Tolerance you set: $500     ·     Difference: $0</v>
      </c>
      <c r="C9" s="131"/>
      <c r="D9" s="131"/>
      <c r="E9" s="131"/>
      <c r="F9" s="131"/>
      <c r="G9" s="131"/>
      <c r="H9" s="131"/>
      <c r="I9" s="131"/>
      <c r="J9" s="130"/>
      <c r="K9" s="130"/>
      <c r="L9" s="130"/>
      <c r="M9" s="130"/>
      <c r="N9" s="130"/>
      <c r="O9" s="130"/>
      <c r="P9" s="130"/>
      <c r="Q9" s="130"/>
      <c r="R9" s="130"/>
      <c r="S9" s="130"/>
      <c r="T9" s="130"/>
      <c r="U9" s="130"/>
    </row>
    <row r="10" spans="1:26" ht="9.75" customHeight="1" x14ac:dyDescent="0.35"/>
    <row r="11" spans="1:26" ht="3.75" customHeight="1" x14ac:dyDescent="0.35">
      <c r="B11" s="127"/>
      <c r="C11" s="127"/>
      <c r="D11" s="127"/>
      <c r="E11" s="127"/>
      <c r="F11" s="127"/>
      <c r="G11" s="127"/>
      <c r="H11" s="127"/>
      <c r="I11" s="127"/>
      <c r="J11" s="127"/>
      <c r="K11" s="127"/>
      <c r="L11" s="127"/>
      <c r="M11" s="127"/>
      <c r="N11" s="127"/>
      <c r="O11" s="127"/>
      <c r="P11" s="127"/>
      <c r="Q11" s="127"/>
      <c r="R11" s="127"/>
      <c r="S11" s="127"/>
      <c r="T11" s="127"/>
      <c r="U11" s="127"/>
    </row>
    <row r="12" spans="1:26" ht="19.5" customHeight="1" x14ac:dyDescent="0.35">
      <c r="B12" s="132" t="s">
        <v>178</v>
      </c>
      <c r="C12" s="132"/>
      <c r="D12" s="132"/>
      <c r="E12" s="132"/>
      <c r="F12" s="132"/>
      <c r="G12" s="132" t="s">
        <v>193</v>
      </c>
      <c r="H12" s="132"/>
      <c r="I12" s="132"/>
      <c r="J12" s="132"/>
      <c r="K12" s="132"/>
      <c r="L12" s="132" t="s">
        <v>190</v>
      </c>
      <c r="M12" s="132"/>
      <c r="N12" s="132"/>
      <c r="O12" s="132"/>
      <c r="P12" s="132"/>
      <c r="Q12" s="132" t="s">
        <v>265</v>
      </c>
      <c r="R12" s="132"/>
      <c r="S12" s="132"/>
      <c r="T12" s="132"/>
      <c r="U12" s="132"/>
    </row>
    <row r="13" spans="1:26" ht="24.75" customHeight="1" x14ac:dyDescent="0.35">
      <c r="B13" s="133">
        <f>'FINANCIAL INPUTS'!$C$23</f>
        <v>93400</v>
      </c>
      <c r="C13" s="133"/>
      <c r="D13" s="133"/>
      <c r="E13" s="133"/>
      <c r="F13" s="133"/>
      <c r="G13" s="133">
        <f>'PROFIT TO CASH BRIDGE'!$C$23</f>
        <v>60600</v>
      </c>
      <c r="H13" s="133"/>
      <c r="I13" s="133"/>
      <c r="J13" s="133"/>
      <c r="K13" s="133"/>
      <c r="L13" s="134">
        <f>'PROFIT TO CASH BRIDGE'!$G$18</f>
        <v>0.64882226980728053</v>
      </c>
      <c r="M13" s="134"/>
      <c r="N13" s="134"/>
      <c r="O13" s="134"/>
      <c r="P13" s="134"/>
      <c r="Q13" s="133">
        <f>'WORKING CAPITAL'!$F$17</f>
        <v>-126800</v>
      </c>
      <c r="R13" s="133"/>
      <c r="S13" s="133"/>
      <c r="T13" s="133"/>
      <c r="U13" s="133"/>
    </row>
    <row r="14" spans="1:26" ht="15" customHeight="1" x14ac:dyDescent="0.35">
      <c r="B14" s="135" t="s">
        <v>266</v>
      </c>
      <c r="C14" s="135"/>
      <c r="D14" s="135"/>
      <c r="E14" s="135"/>
      <c r="F14" s="135"/>
      <c r="G14" s="135" t="s">
        <v>267</v>
      </c>
      <c r="H14" s="135"/>
      <c r="I14" s="135"/>
      <c r="J14" s="135"/>
      <c r="K14" s="135"/>
      <c r="L14" s="135" t="s">
        <v>268</v>
      </c>
      <c r="M14" s="135"/>
      <c r="N14" s="135"/>
      <c r="O14" s="135"/>
      <c r="P14" s="135"/>
      <c r="Q14" s="135" t="str">
        <f>IFERROR(IF('WORKING CAPITAL'!$F$17&gt;=0,"released cash","absorbed cash"),"")</f>
        <v>absorbed cash</v>
      </c>
      <c r="R14" s="135"/>
      <c r="S14" s="135"/>
      <c r="T14" s="135"/>
      <c r="U14" s="135"/>
    </row>
    <row r="15" spans="1:26" ht="7.5" customHeight="1" x14ac:dyDescent="0.35"/>
    <row r="16" spans="1:26" ht="3.75" customHeight="1" x14ac:dyDescent="0.35">
      <c r="B16" s="126"/>
      <c r="C16" s="126"/>
      <c r="D16" s="126"/>
      <c r="E16" s="126"/>
      <c r="F16" s="126"/>
      <c r="G16" s="126"/>
      <c r="H16" s="126"/>
      <c r="I16" s="126"/>
      <c r="J16" s="126"/>
      <c r="K16" s="126"/>
      <c r="L16" s="126"/>
      <c r="M16" s="126"/>
      <c r="N16" s="126"/>
      <c r="O16" s="126"/>
      <c r="P16" s="126"/>
      <c r="Q16" s="126"/>
      <c r="R16" s="126"/>
      <c r="S16" s="126"/>
      <c r="T16" s="126"/>
      <c r="U16" s="126"/>
    </row>
    <row r="17" spans="2:21" ht="19.5" customHeight="1" x14ac:dyDescent="0.35">
      <c r="B17" s="132" t="s">
        <v>269</v>
      </c>
      <c r="C17" s="132"/>
      <c r="D17" s="132"/>
      <c r="E17" s="132"/>
      <c r="F17" s="132"/>
      <c r="G17" s="132" t="s">
        <v>201</v>
      </c>
      <c r="H17" s="132"/>
      <c r="I17" s="132"/>
      <c r="J17" s="132"/>
      <c r="K17" s="132"/>
      <c r="L17" s="132" t="s">
        <v>270</v>
      </c>
      <c r="M17" s="132"/>
      <c r="N17" s="132"/>
      <c r="O17" s="132"/>
      <c r="P17" s="132"/>
      <c r="Q17" s="132" t="s">
        <v>202</v>
      </c>
      <c r="R17" s="132"/>
      <c r="S17" s="132"/>
      <c r="T17" s="132"/>
      <c r="U17" s="132"/>
    </row>
    <row r="18" spans="2:21" ht="24.75" customHeight="1" x14ac:dyDescent="0.35">
      <c r="B18" s="133">
        <f>-'FINANCIAL INPUTS'!$C$51</f>
        <v>-118000</v>
      </c>
      <c r="C18" s="133"/>
      <c r="D18" s="133"/>
      <c r="E18" s="133"/>
      <c r="F18" s="133"/>
      <c r="G18" s="133">
        <f>'FINANCIAL INPUTS'!$C$31</f>
        <v>-58800</v>
      </c>
      <c r="H18" s="133"/>
      <c r="I18" s="133"/>
      <c r="J18" s="133"/>
      <c r="K18" s="133"/>
      <c r="L18" s="133">
        <f>'FINANCIAL INPUTS'!$C$30</f>
        <v>155200</v>
      </c>
      <c r="M18" s="133"/>
      <c r="N18" s="133"/>
      <c r="O18" s="133"/>
      <c r="P18" s="133"/>
      <c r="Q18" s="133">
        <f>'PROFIT TO CASH BRIDGE'!$C$43</f>
        <v>0</v>
      </c>
      <c r="R18" s="133"/>
      <c r="S18" s="133"/>
      <c r="T18" s="133"/>
      <c r="U18" s="133"/>
    </row>
    <row r="19" spans="2:21" ht="15" customHeight="1" x14ac:dyDescent="0.35">
      <c r="B19" s="135" t="s">
        <v>271</v>
      </c>
      <c r="C19" s="135"/>
      <c r="D19" s="135"/>
      <c r="E19" s="135"/>
      <c r="F19" s="135"/>
      <c r="G19" s="135" t="str">
        <f>IFERROR(TEXT('FINANCIAL INPUTS'!$C$29,"$#,##0;($#,##0)")&amp;"  to  "&amp;TEXT('FINANCIAL INPUTS'!$C$30,"$#,##0;($#,##0)"),"")</f>
        <v>$214,000  to  $155,200</v>
      </c>
      <c r="H19" s="135"/>
      <c r="I19" s="135"/>
      <c r="J19" s="135"/>
      <c r="K19" s="135"/>
      <c r="L19" s="135" t="s">
        <v>272</v>
      </c>
      <c r="M19" s="135"/>
      <c r="N19" s="135"/>
      <c r="O19" s="135"/>
      <c r="P19" s="135"/>
      <c r="Q19" s="135" t="str">
        <f>IFERROR(IF('PROFIT TO CASH BRIDGE'!$E$12="Reconciled","within your tolerance","review the inputs"),"")</f>
        <v>within your tolerance</v>
      </c>
      <c r="R19" s="135"/>
      <c r="S19" s="135"/>
      <c r="T19" s="135"/>
      <c r="U19" s="135"/>
    </row>
    <row r="20" spans="2:21" ht="9.75" customHeight="1" x14ac:dyDescent="0.35"/>
    <row r="21" spans="2:21" ht="18.75" customHeight="1" x14ac:dyDescent="0.35">
      <c r="B21" s="136" t="s">
        <v>273</v>
      </c>
      <c r="C21" s="136"/>
      <c r="D21" s="136"/>
      <c r="E21" s="136"/>
      <c r="F21" s="136"/>
      <c r="G21" s="136"/>
      <c r="H21" s="136"/>
      <c r="I21" s="136"/>
      <c r="J21" s="136"/>
      <c r="K21" s="136"/>
      <c r="L21" s="136"/>
      <c r="M21" s="136"/>
      <c r="N21" s="136" t="s">
        <v>274</v>
      </c>
      <c r="O21" s="136"/>
      <c r="P21" s="136"/>
      <c r="Q21" s="136"/>
      <c r="R21" s="136"/>
      <c r="S21" s="136"/>
      <c r="T21" s="136"/>
      <c r="U21" s="136"/>
    </row>
    <row r="39" spans="2:21" ht="18.75" customHeight="1" x14ac:dyDescent="0.35">
      <c r="B39" s="136" t="s">
        <v>275</v>
      </c>
      <c r="C39" s="136"/>
      <c r="D39" s="136"/>
      <c r="E39" s="136"/>
      <c r="F39" s="136"/>
      <c r="G39" s="136"/>
      <c r="H39" s="136"/>
      <c r="I39" s="136"/>
      <c r="J39" s="136"/>
      <c r="K39" s="136"/>
      <c r="L39" s="136"/>
      <c r="M39" s="136"/>
      <c r="N39" s="136"/>
      <c r="O39" s="136"/>
      <c r="P39" s="136"/>
      <c r="Q39" s="136"/>
      <c r="R39" s="136"/>
      <c r="S39" s="136"/>
      <c r="T39" s="136"/>
      <c r="U39" s="136"/>
    </row>
    <row r="61" spans="2:21" ht="7.5" customHeight="1" x14ac:dyDescent="0.35"/>
    <row r="62" spans="2:21" ht="21" customHeight="1" x14ac:dyDescent="0.35">
      <c r="B62" s="137" t="s">
        <v>276</v>
      </c>
      <c r="C62" s="137"/>
      <c r="D62" s="137"/>
      <c r="E62" s="137"/>
      <c r="F62" s="137"/>
      <c r="G62" s="137"/>
      <c r="H62" s="137"/>
      <c r="I62" s="137"/>
      <c r="J62" s="137"/>
      <c r="K62" s="137"/>
      <c r="L62" s="137"/>
      <c r="M62" s="137"/>
      <c r="N62" s="137"/>
      <c r="O62" s="137"/>
      <c r="P62" s="137"/>
      <c r="Q62" s="137"/>
      <c r="R62" s="137"/>
      <c r="S62" s="137"/>
      <c r="T62" s="137"/>
      <c r="U62" s="137"/>
    </row>
    <row r="63" spans="2:21" ht="15.75" customHeight="1" x14ac:dyDescent="0.35">
      <c r="B63" s="77" t="s">
        <v>277</v>
      </c>
      <c r="C63" s="138" t="str">
        <f>IFERROR("The business reported "&amp;IF('FINANCIAL INPUTS'!$C$23&lt;0,"a net loss of "&amp;TEXT(ABS('FINANCIAL INPUTS'!$C$23),"$#,##0"),TEXT('FINANCIAL INPUTS'!$C$23,"$#,##0")&amp;" of net profit")&amp;" during the period and "&amp;IF('PROFIT TO CASH BRIDGE'!$C$23&lt;0,"operations consumed "&amp;TEXT(ABS('PROFIT TO CASH BRIDGE'!$C$23),"$#,##0")&amp;" of cash.","generated approximately "&amp;TEXT('PROFIT TO CASH BRIDGE'!$C$23,"$#,##0")&amp;" of cash from operations."),"")</f>
        <v>The business reported $93,400 of net profit during the period and generated approximately $60,600 of cash from operations.</v>
      </c>
      <c r="D63" s="138"/>
      <c r="E63" s="138"/>
      <c r="F63" s="138"/>
      <c r="G63" s="138"/>
      <c r="H63" s="138"/>
      <c r="I63" s="138"/>
      <c r="J63" s="138"/>
      <c r="K63" s="138"/>
      <c r="L63" s="138"/>
      <c r="M63" s="138"/>
      <c r="N63" s="138"/>
      <c r="O63" s="138"/>
      <c r="P63" s="138"/>
      <c r="Q63" s="138"/>
      <c r="R63" s="138"/>
      <c r="S63" s="138"/>
      <c r="T63" s="138"/>
      <c r="U63" s="138"/>
    </row>
    <row r="64" spans="2:21" ht="15.75" customHeight="1" x14ac:dyDescent="0.35">
      <c r="B64" s="78" t="s">
        <v>277</v>
      </c>
      <c r="C64" s="139" t="str">
        <f>IFERROR(IF(ROUND('WORKING CAPITAL'!$F$17,0)=0,"Operating working capital was cash neutral over the period.","Working capital "&amp;IF('WORKING CAPITAL'!$F$17&gt;0,"released ","absorbed ")&amp;TEXT(ABS('WORKING CAPITAL'!$F$17),"$#,##0")&amp;" of cash. The largest single working-capital use was "&amp;'WORKING CAPITAL'!$C$27&amp;"."),"")</f>
        <v>Working capital absorbed $126,800 of cash. The largest single working-capital use was Accounts Receivable ($158,000).</v>
      </c>
      <c r="D64" s="139"/>
      <c r="E64" s="139"/>
      <c r="F64" s="139"/>
      <c r="G64" s="139"/>
      <c r="H64" s="139"/>
      <c r="I64" s="139"/>
      <c r="J64" s="139"/>
      <c r="K64" s="139"/>
      <c r="L64" s="139"/>
      <c r="M64" s="139"/>
      <c r="N64" s="139"/>
      <c r="O64" s="139"/>
      <c r="P64" s="139"/>
      <c r="Q64" s="139"/>
      <c r="R64" s="139"/>
      <c r="S64" s="139"/>
      <c r="T64" s="139"/>
      <c r="U64" s="139"/>
    </row>
    <row r="65" spans="2:21" ht="15.75" customHeight="1" x14ac:dyDescent="0.35">
      <c r="B65" s="77" t="s">
        <v>277</v>
      </c>
      <c r="C65" s="138" t="str">
        <f>IFERROR(IF(AND('FINANCIAL INPUTS'!$C$51=0,'FINANCIAL INPUTS'!$C$56=0),"No capital expenditures or owner distributions were entered for the period.","Capital expenditures used "&amp;TEXT('FINANCIAL INPUTS'!$C$51,"$#,##0")&amp;" of cash and owner distributions reduced cash by a further "&amp;TEXT('FINANCIAL INPUTS'!$C$56,"$#,##0")&amp;", neither of which reduces accounting profit."),"")</f>
        <v>Capital expenditures used $118,000 of cash and owner distributions reduced cash by a further $42,000, neither of which reduces accounting profit.</v>
      </c>
      <c r="D65" s="138"/>
      <c r="E65" s="138"/>
      <c r="F65" s="138"/>
      <c r="G65" s="138"/>
      <c r="H65" s="138"/>
      <c r="I65" s="138"/>
      <c r="J65" s="138"/>
      <c r="K65" s="138"/>
      <c r="L65" s="138"/>
      <c r="M65" s="138"/>
      <c r="N65" s="138"/>
      <c r="O65" s="138"/>
      <c r="P65" s="138"/>
      <c r="Q65" s="138"/>
      <c r="R65" s="138"/>
      <c r="S65" s="138"/>
      <c r="T65" s="138"/>
      <c r="U65" s="138"/>
    </row>
    <row r="66" spans="2:21" ht="15.75" customHeight="1" x14ac:dyDescent="0.35">
      <c r="B66" s="79" t="s">
        <v>277</v>
      </c>
      <c r="C66" s="140" t="str">
        <f>IFERROR(IF('FINANCIAL INPUTS'!$C$53=0,"No new borrowing was entered for the period, so the cash movement was funded from operations, existing balances or owner activity.",IF('FINANCIAL INPUTS'!$C$53&gt;'PROFIT TO CASH BRIDGE'!$C$23,"New borrowing of "&amp;TEXT('FINANCIAL INPUTS'!$C$53,"$#,##0")&amp;" exceeded operating cash generation of "&amp;TEXT('PROFIT TO CASH BRIDGE'!$C$23,"$#,##0;($#,##0)")&amp;" during the period.","Cash from operations of "&amp;TEXT('PROFIT TO CASH BRIDGE'!$C$23,"$#,##0;($#,##0)")&amp;" exceeded new borrowing of "&amp;TEXT('FINANCIAL INPUTS'!$C$53,"$#,##0")&amp;" during the period.")),"")</f>
        <v>New borrowing of $95,000 exceeded operating cash generation of $60,600 during the period.</v>
      </c>
      <c r="D66" s="140"/>
      <c r="E66" s="140"/>
      <c r="F66" s="140"/>
      <c r="G66" s="140"/>
      <c r="H66" s="140"/>
      <c r="I66" s="140"/>
      <c r="J66" s="140"/>
      <c r="K66" s="140"/>
      <c r="L66" s="140"/>
      <c r="M66" s="140"/>
      <c r="N66" s="140"/>
      <c r="O66" s="140"/>
      <c r="P66" s="140"/>
      <c r="Q66" s="140"/>
      <c r="R66" s="140"/>
      <c r="S66" s="140"/>
      <c r="T66" s="140"/>
      <c r="U66" s="140"/>
    </row>
    <row r="68" spans="2:21" ht="21.75" customHeight="1" x14ac:dyDescent="0.35">
      <c r="B68" s="141" t="s">
        <v>278</v>
      </c>
      <c r="C68" s="141"/>
      <c r="D68" s="141"/>
      <c r="E68" s="141"/>
      <c r="F68" s="141"/>
      <c r="G68" s="141"/>
      <c r="H68" s="141"/>
      <c r="I68" s="141"/>
      <c r="J68" s="141"/>
      <c r="K68" s="141"/>
      <c r="L68" s="141"/>
      <c r="M68" s="141"/>
      <c r="N68" s="141"/>
      <c r="O68" s="141"/>
      <c r="P68" s="141"/>
      <c r="Q68" s="141"/>
      <c r="R68" s="141"/>
      <c r="S68" s="141"/>
      <c r="T68" s="141"/>
      <c r="U68" s="141"/>
    </row>
    <row r="70" spans="2:21" ht="43.5" customHeight="1" x14ac:dyDescent="0.35">
      <c r="B70" s="142" t="s">
        <v>279</v>
      </c>
      <c r="C70" s="142"/>
      <c r="D70" s="142"/>
      <c r="E70" s="142"/>
      <c r="F70" s="142"/>
      <c r="G70" s="142"/>
      <c r="H70" s="142"/>
      <c r="I70" s="142"/>
      <c r="J70" s="142"/>
      <c r="K70" s="142"/>
      <c r="L70" s="142"/>
      <c r="M70" s="142"/>
      <c r="N70" s="142"/>
      <c r="O70" s="142"/>
      <c r="P70" s="142"/>
      <c r="Q70" s="142"/>
      <c r="R70" s="142"/>
      <c r="S70" s="142"/>
      <c r="T70" s="142"/>
      <c r="U70" s="142"/>
    </row>
    <row r="71" spans="2:21" ht="19.5" customHeight="1" x14ac:dyDescent="0.35">
      <c r="B71" s="143" t="s">
        <v>280</v>
      </c>
      <c r="C71" s="143"/>
      <c r="D71" s="143"/>
      <c r="E71" s="143"/>
      <c r="F71" s="143"/>
      <c r="G71" s="143"/>
      <c r="H71" s="143"/>
      <c r="I71" s="143"/>
      <c r="J71" s="143"/>
      <c r="K71" s="143"/>
      <c r="L71" s="143"/>
      <c r="M71" s="143"/>
      <c r="N71" s="143"/>
      <c r="O71" s="143"/>
      <c r="P71" s="143"/>
      <c r="Q71" s="143"/>
      <c r="R71" s="143"/>
      <c r="S71" s="143"/>
      <c r="T71" s="143"/>
      <c r="U71" s="143"/>
    </row>
  </sheetData>
  <sheetProtection sheet="1" formatCells="0" sort="0" autoFilter="0"/>
  <mergeCells count="54">
    <mergeCell ref="B71:U71"/>
    <mergeCell ref="C64:U64"/>
    <mergeCell ref="C65:U65"/>
    <mergeCell ref="C66:U66"/>
    <mergeCell ref="B68:U68"/>
    <mergeCell ref="B70:U70"/>
    <mergeCell ref="B21:M21"/>
    <mergeCell ref="N21:U21"/>
    <mergeCell ref="B39:U39"/>
    <mergeCell ref="B62:U62"/>
    <mergeCell ref="C63:U63"/>
    <mergeCell ref="B18:F18"/>
    <mergeCell ref="G18:K18"/>
    <mergeCell ref="L18:P18"/>
    <mergeCell ref="Q18:U18"/>
    <mergeCell ref="B19:F19"/>
    <mergeCell ref="G19:K19"/>
    <mergeCell ref="L19:P19"/>
    <mergeCell ref="Q19:U19"/>
    <mergeCell ref="B16:F16"/>
    <mergeCell ref="G16:K16"/>
    <mergeCell ref="L16:P16"/>
    <mergeCell ref="Q16:U16"/>
    <mergeCell ref="B17:F17"/>
    <mergeCell ref="G17:K17"/>
    <mergeCell ref="L17:P17"/>
    <mergeCell ref="Q17:U17"/>
    <mergeCell ref="B13:F13"/>
    <mergeCell ref="G13:K13"/>
    <mergeCell ref="L13:P13"/>
    <mergeCell ref="Q13:U13"/>
    <mergeCell ref="B14:F14"/>
    <mergeCell ref="G14:K14"/>
    <mergeCell ref="L14:P14"/>
    <mergeCell ref="Q14:U14"/>
    <mergeCell ref="B11:F11"/>
    <mergeCell ref="G11:K11"/>
    <mergeCell ref="L11:P11"/>
    <mergeCell ref="Q11:U11"/>
    <mergeCell ref="B12:F12"/>
    <mergeCell ref="G12:K12"/>
    <mergeCell ref="L12:P12"/>
    <mergeCell ref="Q12:U12"/>
    <mergeCell ref="B6:I6"/>
    <mergeCell ref="J6:U6"/>
    <mergeCell ref="B7:I7"/>
    <mergeCell ref="J7:U9"/>
    <mergeCell ref="B9:I9"/>
    <mergeCell ref="B1:U1"/>
    <mergeCell ref="B2:J2"/>
    <mergeCell ref="K2:U2"/>
    <mergeCell ref="B3:U3"/>
    <mergeCell ref="B5:I5"/>
    <mergeCell ref="J5:U5"/>
  </mergeCells>
  <conditionalFormatting sqref="B5:I5">
    <cfRule type="expression" dxfId="1" priority="2">
      <formula>$B$7="Reconciled"</formula>
    </cfRule>
    <cfRule type="expression" dxfId="0" priority="3">
      <formula>$B$7="Difference Identified — Review Inputs"</formula>
    </cfRule>
  </conditionalFormatting>
  <pageMargins left="0.3" right="0.3" top="0.35" bottom="0.35" header="0.511811023622047" footer="0.511811023622047"/>
  <pageSetup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START HERE</vt:lpstr>
      <vt:lpstr>FINANCIAL INPUTS</vt:lpstr>
      <vt:lpstr>WORKING CAPITAL</vt:lpstr>
      <vt:lpstr>PROFIT TO CASH BRIDGE</vt:lpstr>
      <vt:lpstr>CASH DRIVERS</vt:lpstr>
      <vt:lpstr>ACTION PLAN</vt:lpstr>
      <vt:lpstr>EXECUTIVE DASHBOARD</vt:lpstr>
      <vt:lpstr>'ACTION PLAN'!Print_Area</vt:lpstr>
      <vt:lpstr>'CASH DRIVERS'!Print_Area</vt:lpstr>
      <vt:lpstr>'EXECUTIVE DASHBOARD'!Print_Area</vt:lpstr>
      <vt:lpstr>'FINANCIAL INPUTS'!Print_Area</vt:lpstr>
      <vt:lpstr>'PROFIT TO CASH BRIDGE'!Print_Area</vt:lpstr>
      <vt:lpstr>'START HERE'!Print_Area</vt:lpstr>
      <vt:lpstr>'WORKING CAPITAL'!Print_Area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Profit vs. Cash Diagnostic</dc:title>
  <dc:subject>Reconciling accounting profit to the change in cash</dc:subject>
  <dc:creator>Vertex Strategic Finance</dc:creator>
  <cp:keywords>profit cash flow working capital owner-led business</cp:keywords>
  <dc:description>Free diagnostic from Vertex Strategic Finance. All sample data is fictional and provided for illustration and planning purposes only.</dc:description>
  <cp:lastModifiedBy>Senthuran Selvanathan</cp:lastModifiedBy>
  <cp:revision>1</cp:revision>
  <dcterms:created xsi:type="dcterms:W3CDTF">2026-08-30T18:49:18Z</dcterms:created>
  <dcterms:modified xsi:type="dcterms:W3CDTF">2026-08-30T18:55:59Z</dcterms:modified>
  <dc:language>en-US</dc:language>
</cp:coreProperties>
</file>