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3d67ec76a37ead1/Desktop/Vertex Strategic Finance/Resources - Lead Magnets/"/>
    </mc:Choice>
  </mc:AlternateContent>
  <xr:revisionPtr revIDLastSave="0" documentId="8_{E23804EE-9C5F-41CA-B14C-B1B2EE97FDE7}" xr6:coauthVersionLast="47" xr6:coauthVersionMax="47" xr10:uidLastSave="{00000000-0000-0000-0000-000000000000}"/>
  <bookViews>
    <workbookView xWindow="45030" yWindow="-930" windowWidth="31005" windowHeight="17910" tabRatio="649" xr2:uid="{00000000-000D-0000-FFFF-FFFF00000000}"/>
  </bookViews>
  <sheets>
    <sheet name="START HERE" sheetId="1" r:id="rId1"/>
    <sheet name="CLOSE SETUP" sheetId="2" r:id="rId2"/>
    <sheet name="MONTHLY CLOSE" sheetId="3" r:id="rId3"/>
    <sheet name="OWNER REVIEW" sheetId="4" r:id="rId4"/>
    <sheet name="OPEN ITEMS" sheetId="5" r:id="rId5"/>
    <sheet name="CLOSE HISTORY" sheetId="6" r:id="rId6"/>
    <sheet name="EXECUTIVE DASHBOARD" sheetId="7" r:id="rId7"/>
  </sheets>
  <definedNames>
    <definedName name="CategoryList">'CLOSE SETUP'!$F$23:$F$34</definedName>
    <definedName name="OwnerList">'CLOSE SETUP'!$C$23:$C$32</definedName>
    <definedName name="_xlnm.Print_Area" localSheetId="5">'CLOSE HISTORY'!$A$1:$L$29</definedName>
    <definedName name="_xlnm.Print_Area" localSheetId="1">'CLOSE SETUP'!$A$1:$I$43</definedName>
    <definedName name="_xlnm.Print_Area" localSheetId="6">'EXECUTIVE DASHBOARD'!$A$1:$W$52</definedName>
    <definedName name="_xlnm.Print_Area" localSheetId="2">'MONTHLY CLOSE'!$A$1:$K$92</definedName>
    <definedName name="_xlnm.Print_Area" localSheetId="4">'OPEN ITEMS'!$A$1:$M$28</definedName>
    <definedName name="_xlnm.Print_Area" localSheetId="3">'OWNER REVIEW'!$A$1:$H$75</definedName>
    <definedName name="_xlnm.Print_Area" localSheetId="0">'START HERE'!$A$1:$I$56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46" i="7" l="1"/>
  <c r="C43" i="7"/>
  <c r="AA28" i="7"/>
  <c r="Y28" i="7"/>
  <c r="AA27" i="7"/>
  <c r="Y27" i="7"/>
  <c r="AA26" i="7"/>
  <c r="Y26" i="7"/>
  <c r="AA25" i="7"/>
  <c r="Y25" i="7"/>
  <c r="AA24" i="7"/>
  <c r="Y24" i="7"/>
  <c r="AA23" i="7"/>
  <c r="Y23" i="7"/>
  <c r="L23" i="7"/>
  <c r="AA22" i="7"/>
  <c r="Y22" i="7"/>
  <c r="AA21" i="7"/>
  <c r="Y21" i="7"/>
  <c r="B21" i="7"/>
  <c r="AA20" i="7"/>
  <c r="Y20" i="7"/>
  <c r="AA19" i="7"/>
  <c r="Y19" i="7"/>
  <c r="P19" i="7"/>
  <c r="AA18" i="7"/>
  <c r="Y18" i="7"/>
  <c r="B18" i="7"/>
  <c r="AA17" i="7"/>
  <c r="Y17" i="7"/>
  <c r="Z14" i="7"/>
  <c r="I14" i="7"/>
  <c r="B14" i="7"/>
  <c r="Z13" i="7"/>
  <c r="I13" i="7"/>
  <c r="Z12" i="7"/>
  <c r="Z11" i="7"/>
  <c r="Z10" i="7"/>
  <c r="Z9" i="7"/>
  <c r="B9" i="7"/>
  <c r="Z8" i="7"/>
  <c r="Z7" i="7"/>
  <c r="Z6" i="7"/>
  <c r="N2" i="7"/>
  <c r="F27" i="6"/>
  <c r="F26" i="6"/>
  <c r="Z27" i="7" s="1"/>
  <c r="F25" i="6"/>
  <c r="Z26" i="7" s="1"/>
  <c r="F24" i="6"/>
  <c r="Z25" i="7" s="1"/>
  <c r="F23" i="6"/>
  <c r="Z24" i="7" s="1"/>
  <c r="F22" i="6"/>
  <c r="Z23" i="7" s="1"/>
  <c r="F21" i="6"/>
  <c r="Z22" i="7" s="1"/>
  <c r="F20" i="6"/>
  <c r="Z21" i="7" s="1"/>
  <c r="F19" i="6"/>
  <c r="Z20" i="7" s="1"/>
  <c r="F18" i="6"/>
  <c r="Z19" i="7" s="1"/>
  <c r="F17" i="6"/>
  <c r="Z18" i="7" s="1"/>
  <c r="F16" i="6"/>
  <c r="D12" i="6"/>
  <c r="D11" i="6"/>
  <c r="D6" i="6"/>
  <c r="E10" i="5"/>
  <c r="E9" i="5"/>
  <c r="E8" i="5"/>
  <c r="E7" i="5"/>
  <c r="E6" i="5"/>
  <c r="F59" i="4"/>
  <c r="F58" i="4"/>
  <c r="F57" i="4"/>
  <c r="F46" i="4"/>
  <c r="F45" i="4"/>
  <c r="F44" i="4"/>
  <c r="C30" i="4"/>
  <c r="C47" i="7" s="1"/>
  <c r="G17" i="4"/>
  <c r="F17" i="4"/>
  <c r="E16" i="4"/>
  <c r="D16" i="4"/>
  <c r="C16" i="4"/>
  <c r="G15" i="4"/>
  <c r="F15" i="4"/>
  <c r="E14" i="4"/>
  <c r="D14" i="4"/>
  <c r="C14" i="4"/>
  <c r="G13" i="4"/>
  <c r="F13" i="4"/>
  <c r="G12" i="4"/>
  <c r="F12" i="4"/>
  <c r="C8" i="4"/>
  <c r="D12" i="3"/>
  <c r="D13" i="3" s="1"/>
  <c r="P13" i="7" s="1"/>
  <c r="D11" i="3"/>
  <c r="D10" i="3"/>
  <c r="D9" i="3"/>
  <c r="D7" i="3"/>
  <c r="D6" i="3"/>
  <c r="D8" i="3" s="1"/>
  <c r="F2" i="3"/>
  <c r="C16" i="2"/>
  <c r="I19" i="7" l="1"/>
  <c r="D7" i="6"/>
  <c r="Z28" i="7"/>
  <c r="D10" i="6"/>
  <c r="D9" i="6"/>
  <c r="D8" i="6"/>
  <c r="Z17" i="7"/>
  <c r="I18" i="7"/>
  <c r="C44" i="7"/>
  <c r="G16" i="4"/>
  <c r="F16" i="4"/>
  <c r="G14" i="4"/>
  <c r="F14" i="4"/>
  <c r="D14" i="3"/>
  <c r="N7" i="7" s="1"/>
  <c r="D15" i="3"/>
  <c r="N9" i="7"/>
  <c r="B13" i="7"/>
  <c r="P18" i="7" l="1"/>
  <c r="C45" i="7"/>
  <c r="B7" i="7"/>
  <c r="C4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C15" authorId="0" shapeId="0" xr:uid="{00000000-0006-0000-0100-000001000000}">
      <text>
        <r>
          <rPr>
            <sz val="10"/>
            <rFont val="Arial"/>
            <family val="2"/>
          </rPr>
          <t>A target you set for your own business. Close timing varies widely with business size, transaction volume, systems and staffing. This workbook contains no recommended close speed.</t>
        </r>
      </text>
    </comment>
  </commentList>
</comments>
</file>

<file path=xl/sharedStrings.xml><?xml version="1.0" encoding="utf-8"?>
<sst xmlns="http://schemas.openxmlformats.org/spreadsheetml/2006/main" count="785" uniqueCount="474">
  <si>
    <t>VERTEX STRATEGIC FINANCE</t>
  </si>
  <si>
    <t>Monthly Close Checklist for Business Owners</t>
  </si>
  <si>
    <t>A practical month-end process to help you work through your books methodically, review the results, and understand what the numbers are telling you.</t>
  </si>
  <si>
    <t>Why Month-End Matters</t>
  </si>
  <si>
    <t>Monthly financial statements are only useful when the underlying accounting is complete and accurate.</t>
  </si>
  <si>
    <t>A structured month-end process gives you a consistent way to work through:</t>
  </si>
  <si>
    <t>—</t>
  </si>
  <si>
    <t>Bank and credit-card activity is reconciled</t>
  </si>
  <si>
    <t>Revenue and expenses are recorded appropriately</t>
  </si>
  <si>
    <t>Receivables and payables are reviewed</t>
  </si>
  <si>
    <t>Payroll and tax-related accounts are considered</t>
  </si>
  <si>
    <t>Balance-sheet accounts are reviewed</t>
  </si>
  <si>
    <t>Unusual transactions are investigated</t>
  </si>
  <si>
    <t>Financial statements are reviewed before decisions are made</t>
  </si>
  <si>
    <t>The objective is not simply to "close the books." The objective is to produce financial information you can confidently use to run the business.</t>
  </si>
  <si>
    <t>What a Strong Monthly Finance Process Looks Like</t>
  </si>
  <si>
    <t>RECORD</t>
  </si>
  <si>
    <t>RECONCILE</t>
  </si>
  <si>
    <t>REVIEW</t>
  </si>
  <si>
    <t>UNDERSTAND</t>
  </si>
  <si>
    <t>ACT</t>
  </si>
  <si>
    <t>Transactions are captured.</t>
  </si>
  <si>
    <t>Key accounts are reconciled and supported.</t>
  </si>
  <si>
    <t>Statements are reviewed for unusual activity and changes.</t>
  </si>
  <si>
    <t>You understand profitability, cash flow and financial position.</t>
  </si>
  <si>
    <t>Questions and follow-up items are documented and addressed.</t>
  </si>
  <si>
    <t>Each stage depends on the one before it. Closing the books sits in the middle of the process, not at the end of it — this workbook covers all five.</t>
  </si>
  <si>
    <t>How to Use This Workbook</t>
  </si>
  <si>
    <t>1.</t>
  </si>
  <si>
    <t>Set Up Your Close</t>
  </si>
  <si>
    <t>CLOSE SETUP tab</t>
  </si>
  <si>
    <t>Assign responsibility and target timing for each recurring task.</t>
  </si>
  <si>
    <t>2.</t>
  </si>
  <si>
    <t>Complete the Monthly Checklist</t>
  </si>
  <si>
    <t>MONTHLY CLOSE tab</t>
  </si>
  <si>
    <t>Track completion of the accounting and reconciliation work.</t>
  </si>
  <si>
    <t>3.</t>
  </si>
  <si>
    <t>Review the Financial Results</t>
  </si>
  <si>
    <t>OWNER REVIEW tab</t>
  </si>
  <si>
    <t>Understand profitability, cash flow, working capital, and unusual changes.</t>
  </si>
  <si>
    <t>4.</t>
  </si>
  <si>
    <t>Track Open Items</t>
  </si>
  <si>
    <t>OPEN ITEMS tab</t>
  </si>
  <si>
    <t>Document anything requiring investigation, correction, or follow-up.</t>
  </si>
  <si>
    <t>NOT EVERY ITEM APPLIES TO EVERY BUSINESS</t>
  </si>
  <si>
    <t>Some checklist items will not be relevant to your business. Mark those as N/A rather than deleting them — this keeps the checklist structure intact and removes them from the completion calculations.</t>
  </si>
  <si>
    <t>Reading the Workbook</t>
  </si>
  <si>
    <t>Input</t>
  </si>
  <si>
    <t>Shaded cells are yours to complete. Most use a dropdown.</t>
  </si>
  <si>
    <t>Formula</t>
  </si>
  <si>
    <t>Unshaded cells calculate automatically. Sheets are protected without a password — use Review › Unprotect Sheet if you need to edit them.</t>
  </si>
  <si>
    <t>Important</t>
  </si>
  <si>
    <t>This resource is provided for general informational and planning purposes only and does not constitute accounting, tax, legal, investment, financing, or financial advice. Month-end procedures and reporting requirements vary by business, industry, accounting framework, jurisdiction, and other circumstances. Businesses should work with qualified professional advisors to determine the accounting, tax, compliance, and financial reporting procedures appropriate for their circumstances.   Completing this checklist does not constitute an audit, a review engagement, or any form of assurance, and does not confirm compliance with tax or accounting requirements.   All figures and entries supplied with this workbook are FICTIONAL EXAMPLE DATA.</t>
  </si>
  <si>
    <t>Vertex Strategic Finance</t>
  </si>
  <si>
    <t>CPA-Led Accounting &amp; Advisory for Owner-Led Businesses</t>
  </si>
  <si>
    <t>www.vertexstrategicfinance.ca    |    info@vertexstrategicfinance.ca</t>
  </si>
  <si>
    <t>Close Setup</t>
  </si>
  <si>
    <t>Set the month you are closing, who is responsible, and the timing you are aiming for.  Everything else in the workbook builds from here.</t>
  </si>
  <si>
    <t>BUSINESS AND PERIOD</t>
  </si>
  <si>
    <t>Item</t>
  </si>
  <si>
    <t>Your Entry</t>
  </si>
  <si>
    <t>Notes</t>
  </si>
  <si>
    <t>Business Name</t>
  </si>
  <si>
    <t>Northbridge Consulting Group Ltd.</t>
  </si>
  <si>
    <t>Appears on the Executive Dashboard.</t>
  </si>
  <si>
    <t>Month Being Closed</t>
  </si>
  <si>
    <t>July 2026</t>
  </si>
  <si>
    <t>A short label, for example July 2026.</t>
  </si>
  <si>
    <t>Month-End Date</t>
  </si>
  <si>
    <t>The last day of the month you are closing. Used to calculate close timing.</t>
  </si>
  <si>
    <t>Fiscal Year End</t>
  </si>
  <si>
    <t>Your business's financial year end.</t>
  </si>
  <si>
    <t>CLOSE TIMING</t>
  </si>
  <si>
    <t>Target Calendar Days to Close</t>
  </si>
  <si>
    <t>How many calendar days after month-end you aim to have the books closed. This is YOUR target — this workbook contains no recommended close timeline.</t>
  </si>
  <si>
    <t>Suggested Target Close Date</t>
  </si>
  <si>
    <t>Month-end date plus your target calendar days. Calendar days are used throughout so the workbook never has to guess about weekends or holidays.</t>
  </si>
  <si>
    <t>Target Close Date</t>
  </si>
  <si>
    <t>Defaults to the suggested date above. Override it if you work to a specific date.</t>
  </si>
  <si>
    <t>Financial Review Date</t>
  </si>
  <si>
    <t>When you plan to sit down with the numbers and complete the Owner Review.</t>
  </si>
  <si>
    <t>RESPONSIBILITY OPTIONS</t>
  </si>
  <si>
    <t>OPEN ITEM CATEGORIES</t>
  </si>
  <si>
    <t>Use role names, people's names, or a mix — whichever suits how your business works. Leave spare rows blank if you need fewer than ten. The Owner dropdown on the MONTHLY CLOSE and OPEN ITEMS tabs reads directly from this list, so anything you type here becomes selectable there.</t>
  </si>
  <si>
    <t>Fills the Owner dropdown. Edit these freely.</t>
  </si>
  <si>
    <t>These fill the Category dropdown on the OPEN ITEMS tab.</t>
  </si>
  <si>
    <t>#</t>
  </si>
  <si>
    <t>Role or Name</t>
  </si>
  <si>
    <t>Category</t>
  </si>
  <si>
    <t>Owner</t>
  </si>
  <si>
    <t>Cash</t>
  </si>
  <si>
    <t>Bookkeeper</t>
  </si>
  <si>
    <t>Revenue</t>
  </si>
  <si>
    <t>Accountant</t>
  </si>
  <si>
    <t>Receivables</t>
  </si>
  <si>
    <t>Office Manager</t>
  </si>
  <si>
    <t>Expenses</t>
  </si>
  <si>
    <t>Finance Team</t>
  </si>
  <si>
    <t>Payables</t>
  </si>
  <si>
    <t>External Accountant</t>
  </si>
  <si>
    <t>Payroll</t>
  </si>
  <si>
    <t>Other</t>
  </si>
  <si>
    <t>Tax</t>
  </si>
  <si>
    <t>Balance Sheet</t>
  </si>
  <si>
    <t>Financing</t>
  </si>
  <si>
    <t>Profitability</t>
  </si>
  <si>
    <t>Reporting</t>
  </si>
  <si>
    <t>STATUS OPTIONS USED THROUGHOUT</t>
  </si>
  <si>
    <t>Task status (MONTHLY CLOSE)</t>
  </si>
  <si>
    <t>These lists are fixed because the completion and readiness calculations depend on the exact wording. The Owner and Category lists on the left are yours to change.</t>
  </si>
  <si>
    <t>Not Started  ·  In Progress  ·  Complete  ·  N/A  ·  Needs Review</t>
  </si>
  <si>
    <t>Open item status (OPEN ITEMS)</t>
  </si>
  <si>
    <t>Open  ·  In Progress  ·  Resolved            Priority:  Normal  ·  High</t>
  </si>
  <si>
    <t>All entries supplied with this workbook are FICTIONAL EXAMPLE DATA for an illustrative owner-led Canadian service business closing July 2026. Replace them with your own. Tax requirements and filing frequencies vary by business — confirm what applies to you with your accountant or tax advisor.</t>
  </si>
  <si>
    <t>Vertex Strategic Finance  |  For general information and planning only — not accounting, tax, legal, investment, financing or financial advice.</t>
  </si>
  <si>
    <t>Monthly Close Checklist</t>
  </si>
  <si>
    <t>Work down the list. Mark anything that does not apply to your business as N/A — it is then excluded from the completion calculations.</t>
  </si>
  <si>
    <t>CLOSE PROGRESS</t>
  </si>
  <si>
    <t>Total Tasks in Checklist</t>
  </si>
  <si>
    <t>"Ready for Owner Review" means every applicable task on this checklist has been marked Complete and nothing has been flagged for review. It is a statement about this checklist only — it is not an audit, a review engagement, or any form of assurance, and it does not confirm that the financial statements are accurate or that tax and accounting requirements have been met.</t>
  </si>
  <si>
    <t>Marked N/A</t>
  </si>
  <si>
    <t>Total Applicable Tasks</t>
  </si>
  <si>
    <t>Complete</t>
  </si>
  <si>
    <t>In Progress</t>
  </si>
  <si>
    <t>Tax requirements and filing frequencies vary by business. Nothing in this checklist sets out a filing deadline, a tax rate, or a required close timeline — confirm what applies to your business with your accountant or tax advisor.</t>
  </si>
  <si>
    <t>Needs Review</t>
  </si>
  <si>
    <t>Not Started</t>
  </si>
  <si>
    <t>Outstanding Tasks</t>
  </si>
  <si>
    <t>Close Completion %</t>
  </si>
  <si>
    <t>Close Readiness</t>
  </si>
  <si>
    <t>MONTHLY CLOSE CHECKLIST</t>
  </si>
  <si>
    <t>ID</t>
  </si>
  <si>
    <t>Close Area</t>
  </si>
  <si>
    <t>Task</t>
  </si>
  <si>
    <t>Why It Matters</t>
  </si>
  <si>
    <t>Target Date</t>
  </si>
  <si>
    <t>Status</t>
  </si>
  <si>
    <t>Date Completed</t>
  </si>
  <si>
    <t>Review / Notes</t>
  </si>
  <si>
    <t>CASH &amp; BANKING</t>
  </si>
  <si>
    <t>Cash &amp; Banking</t>
  </si>
  <si>
    <t>Reconcile all bank accounts</t>
  </si>
  <si>
    <t>Confirms that recorded cash activity agrees to bank records and helps identify missing or duplicate transactions.</t>
  </si>
  <si>
    <t>Review outstanding deposits</t>
  </si>
  <si>
    <t>Confirm deposits in transit are legitimate and clear shortly after month-end.</t>
  </si>
  <si>
    <t>Review outstanding payments</t>
  </si>
  <si>
    <t>Investigate old or unusual outstanding cheques and payments.</t>
  </si>
  <si>
    <t>Reconcile credit cards</t>
  </si>
  <si>
    <t>Ensure credit-card activity agrees with statements and transactions are appropriately categorized.</t>
  </si>
  <si>
    <t>Review payment processor balances</t>
  </si>
  <si>
    <t>Where applicable, reconcile merchant processors or online payment platforms to the accounting records.</t>
  </si>
  <si>
    <t>Waiting on the June/July platform statement.</t>
  </si>
  <si>
    <t>Review cash balance for unusual changes</t>
  </si>
  <si>
    <t>Identify significant movements in cash that may require explanation.</t>
  </si>
  <si>
    <t>REVENUE</t>
  </si>
  <si>
    <t>Confirm revenue for the month is recorded</t>
  </si>
  <si>
    <t>Review whether material sales or services delivered during the period have been captured.</t>
  </si>
  <si>
    <t>Review revenue cut-off</t>
  </si>
  <si>
    <t>Consider whether material revenue has been recorded in the month it relates to, rather than the month it was invoiced or paid.</t>
  </si>
  <si>
    <t>Review unusual revenue transactions</t>
  </si>
  <si>
    <t>Investigate material credits, refunds, reversals, discounts, or unusual sales entries.</t>
  </si>
  <si>
    <t>Compare revenue to prior month</t>
  </si>
  <si>
    <t>Identify significant changes worth understanding before the statements are used.</t>
  </si>
  <si>
    <t>Compare revenue to budget or forecast</t>
  </si>
  <si>
    <t>Where a budget or forecast exists, compare actual results against it.</t>
  </si>
  <si>
    <t>Review deferred or unearned revenue</t>
  </si>
  <si>
    <t>Where customers have paid in advance for work not yet delivered. Mark N/A if not relevant.</t>
  </si>
  <si>
    <t>N/A</t>
  </si>
  <si>
    <t>No advance billing arrangements in place.</t>
  </si>
  <si>
    <t>ACCOUNTS RECEIVABLE</t>
  </si>
  <si>
    <t>Accounts Receivable</t>
  </si>
  <si>
    <t>Review accounts receivable balance</t>
  </si>
  <si>
    <t>Confirm the receivables total agrees to the detailed customer listing.</t>
  </si>
  <si>
    <t>Review overdue customer balances</t>
  </si>
  <si>
    <t>Identify which customers are behind and by how much.</t>
  </si>
  <si>
    <t>Investigate significantly overdue invoices</t>
  </si>
  <si>
    <t>Understand why older invoices remain unpaid and what is being done about them.</t>
  </si>
  <si>
    <t>Review customer credits</t>
  </si>
  <si>
    <t>Confirm credit notes and customer credits on account are appropriate and applied.</t>
  </si>
  <si>
    <t>Identify potentially uncollectible balances for discussion</t>
  </si>
  <si>
    <t>Flag balances that may not be collectible so they can be discussed with your accountant or bookkeeper.</t>
  </si>
  <si>
    <t>Two customer balances over 120 days — discuss with the accountant before finalising.</t>
  </si>
  <si>
    <t>Confirm post-month-end customer payments are applied appropriately</t>
  </si>
  <si>
    <t>Payments received after month-end should be applied to the correct period and customer.</t>
  </si>
  <si>
    <t>EXPENSES &amp; ACCOUNTS PAYABLE</t>
  </si>
  <si>
    <t>Expenses &amp; Accounts Payable</t>
  </si>
  <si>
    <t>Confirm major supplier bills are recorded</t>
  </si>
  <si>
    <t>Check that significant supplier invoices for the month have been entered.</t>
  </si>
  <si>
    <t>Review accounts payable</t>
  </si>
  <si>
    <t>Confirm the payables total agrees to the detailed supplier listing.</t>
  </si>
  <si>
    <t>Review overdue supplier balances</t>
  </si>
  <si>
    <t>Identify amounts past due and whether the payment timing is deliberate.</t>
  </si>
  <si>
    <t>Review unusual or large expenses</t>
  </si>
  <si>
    <t>Investigate expenses that are unexpectedly large or out of the ordinary.</t>
  </si>
  <si>
    <t>Review recurring expenses for missing entries</t>
  </si>
  <si>
    <t>Confirm regular monthly costs such as rent, software and insurance have all been recorded.</t>
  </si>
  <si>
    <t>Consider expenses incurred but not yet invoiced</t>
  </si>
  <si>
    <t>Consider whether any significant goods or services were received during the month but the related supplier invoice has not yet been recorded.</t>
  </si>
  <si>
    <t>Confirming subcontractor work delivered in the last week of the month.</t>
  </si>
  <si>
    <t>Review employee expense reimbursements</t>
  </si>
  <si>
    <t>Where applicable, confirm employee claims for the month have been submitted and recorded.</t>
  </si>
  <si>
    <t>PAYROLL</t>
  </si>
  <si>
    <t>Reconcile payroll records to accounting records</t>
  </si>
  <si>
    <t>Confirm the payroll system totals agree to what is recorded in the accounts.</t>
  </si>
  <si>
    <t>Confirm wages and salaries are recorded</t>
  </si>
  <si>
    <t>Check that all pay runs falling in the month have been captured.</t>
  </si>
  <si>
    <t>Review payroll-related liabilities</t>
  </si>
  <si>
    <t>Confirm amounts owing for payroll sit in the right accounts and look reasonable.</t>
  </si>
  <si>
    <t>Review payroll remittance balances</t>
  </si>
  <si>
    <t>Confirm amounts remitted and amounts still owing agree to your payroll records. Filing frequencies vary — confirm your requirements with your accountant or tax advisor.</t>
  </si>
  <si>
    <t>Review bonuses, commissions, vacation and other material payroll items</t>
  </si>
  <si>
    <t>Where applicable, confirm these have been recorded for the month.</t>
  </si>
  <si>
    <t>No bonus or commission arrangements this month.</t>
  </si>
  <si>
    <t>Investigate unusual payroll changes</t>
  </si>
  <si>
    <t>Understand significant movements in payroll cost from the prior month.</t>
  </si>
  <si>
    <t>GST/HST &amp; TAX</t>
  </si>
  <si>
    <t>GST/HST &amp; Tax</t>
  </si>
  <si>
    <t>Review GST/HST collected</t>
  </si>
  <si>
    <t>Confirm tax collected on sales for the month looks consistent with the revenue recorded.</t>
  </si>
  <si>
    <t>Review GST/HST paid and input tax credit accounts</t>
  </si>
  <si>
    <t>Confirm tax paid on purchases has been recorded in the right accounts.</t>
  </si>
  <si>
    <t>Review GST/HST payable or receivable balance</t>
  </si>
  <si>
    <t>Confirm the net amount owing or recoverable is understood and supported.</t>
  </si>
  <si>
    <t>Confirm upcoming filing and remittance requirements</t>
  </si>
  <si>
    <t>Filing frequencies and due dates vary by business. Confirm what applies to you with your accountant or tax advisor.</t>
  </si>
  <si>
    <t>Review other tax-related balance-sheet accounts</t>
  </si>
  <si>
    <t>Where applicable — for example provincial taxes or other levies relevant to your business.</t>
  </si>
  <si>
    <t>None applicable to this business.</t>
  </si>
  <si>
    <t>FIXED ASSETS &amp; FINANCING</t>
  </si>
  <si>
    <t>Fixed Assets &amp; Financing</t>
  </si>
  <si>
    <t>Review significant equipment or asset purchases</t>
  </si>
  <si>
    <t>Confirm larger purchases have been recorded appropriately rather than expensed by default.</t>
  </si>
  <si>
    <t>Identify disposals of equipment or assets</t>
  </si>
  <si>
    <t>Where assets were sold, traded in or scrapped during the month.</t>
  </si>
  <si>
    <t>No disposals this month.</t>
  </si>
  <si>
    <t>Review loan balances</t>
  </si>
  <si>
    <t>Confirm loan balances in the accounts agree to lender statements.</t>
  </si>
  <si>
    <t>Confirm new financing is recorded</t>
  </si>
  <si>
    <t>Where new borrowing was arranged during the month.</t>
  </si>
  <si>
    <t>No new financing this month.</t>
  </si>
  <si>
    <t>Confirm debt payments are appropriately reflected</t>
  </si>
  <si>
    <t>Principal and interest portions of loan payments should be recorded separately.</t>
  </si>
  <si>
    <t>Review interest expense for unusual changes</t>
  </si>
  <si>
    <t>Understand movements in interest cost from the prior month.</t>
  </si>
  <si>
    <t>Review owner or shareholder loans and advances</t>
  </si>
  <si>
    <t>Where applicable, confirm movements on these accounts are understood and supported.</t>
  </si>
  <si>
    <t>No shareholder loan activity this month.</t>
  </si>
  <si>
    <t>BALANCE SHEET</t>
  </si>
  <si>
    <t>Review all material balance-sheet accounts</t>
  </si>
  <si>
    <t>Every significant account should be looked at, not just the bank.</t>
  </si>
  <si>
    <t>Investigate unusual balances</t>
  </si>
  <si>
    <t>Amounts that look out of place compared with prior months.</t>
  </si>
  <si>
    <t>Investigate unexpected negative asset balances</t>
  </si>
  <si>
    <t>For example a bank, receivable or prepaid account sitting in a negative position.</t>
  </si>
  <si>
    <t>Investigate unexpected negative liability balances</t>
  </si>
  <si>
    <t>For example a payable or tax account sitting in a debit position.</t>
  </si>
  <si>
    <t>Review clearing and suspense accounts</t>
  </si>
  <si>
    <t>These should generally be cleared each month rather than accumulating.</t>
  </si>
  <si>
    <t>Suspense account has a small unexplained balance.</t>
  </si>
  <si>
    <t>Review prepaid expenses</t>
  </si>
  <si>
    <t>Where applicable, confirm amounts paid in advance are being released to expense appropriately.</t>
  </si>
  <si>
    <t>Review deposits</t>
  </si>
  <si>
    <t>Amounts held with suppliers, landlords or others.</t>
  </si>
  <si>
    <t>No deposits held.</t>
  </si>
  <si>
    <t>Review intercompany balances</t>
  </si>
  <si>
    <t>Where the business transacts with a related company.</t>
  </si>
  <si>
    <t>No related companies.</t>
  </si>
  <si>
    <t>Review owner and shareholder accounts</t>
  </si>
  <si>
    <t>Confirm movements are understood and supported.</t>
  </si>
  <si>
    <t>Confirm reconciliations have supporting documentation</t>
  </si>
  <si>
    <t>Each reconciled account should have a statement, listing or schedule behind it.</t>
  </si>
  <si>
    <t>FINANCIAL STATEMENTS</t>
  </si>
  <si>
    <t>Financial Statements</t>
  </si>
  <si>
    <t>Generate monthly income statement</t>
  </si>
  <si>
    <t>Produce the profit and loss for the month just closed.</t>
  </si>
  <si>
    <t>Generate balance sheet</t>
  </si>
  <si>
    <t>Produce the statement of financial position as at month-end.</t>
  </si>
  <si>
    <t>Generate cash-flow statement if available</t>
  </si>
  <si>
    <t>Where your accounting system or your accountant produces one.</t>
  </si>
  <si>
    <t>Not produced monthly for this business.</t>
  </si>
  <si>
    <t>Compare results with prior month</t>
  </si>
  <si>
    <t>Identify what changed and by how much.</t>
  </si>
  <si>
    <t>Compare results with prior year where meaningful</t>
  </si>
  <si>
    <t>Useful where the business has seasonal patterns.</t>
  </si>
  <si>
    <t>Compare results with budget or forecast where available</t>
  </si>
  <si>
    <t>Where a budget or forecast exists.</t>
  </si>
  <si>
    <t>Review material variances</t>
  </si>
  <si>
    <t>Understand the reasons behind significant differences before relying on the numbers.</t>
  </si>
  <si>
    <t>Investigate unusual or unexpected balances</t>
  </si>
  <si>
    <t>Anything in the statements that does not look right should be understood before the numbers are used.</t>
  </si>
  <si>
    <t>Confirm financial statements are ready for owner review</t>
  </si>
  <si>
    <t>The final step: the statements are complete enough to be relied on for management decisions. This is not a statement of assurance.</t>
  </si>
  <si>
    <t>Vertex Strategic Finance  |  FICTIONAL EXAMPLE DATA.  Completing this checklist does not constitute an audit, a review engagement or any form of assurance.</t>
  </si>
  <si>
    <t>Understand the Numbers</t>
  </si>
  <si>
    <t>Once the books are closed, use this review to understand what changed, why it changed, and whether anything requires action.</t>
  </si>
  <si>
    <t>REVIEW STATUS</t>
  </si>
  <si>
    <t>Owner Financial Review Status</t>
  </si>
  <si>
    <t>Completing this review means you have looked at the numbers and understood what changed. It is not a statement that the financial statements are accurate, and it is not a substitute for professional advice.</t>
  </si>
  <si>
    <t>Owner Review Complete?</t>
  </si>
  <si>
    <t>SECTION A  —  PROFITABILITY</t>
  </si>
  <si>
    <t>Measure</t>
  </si>
  <si>
    <t>This Month</t>
  </si>
  <si>
    <t>Prior Month</t>
  </si>
  <si>
    <t>Budget / Forecast</t>
  </si>
  <si>
    <t>vs Prior</t>
  </si>
  <si>
    <t>vs Budget</t>
  </si>
  <si>
    <t>Gross Profit</t>
  </si>
  <si>
    <t>Gross Margin %</t>
  </si>
  <si>
    <t>Operating Profit</t>
  </si>
  <si>
    <t>Operating Margin %</t>
  </si>
  <si>
    <t>Net Income</t>
  </si>
  <si>
    <t>Leave the Budget / Forecast column blank if you do not prepare one — the vs Budget column then simply shows no comparison.  What counts as a material change is yours to judge; this workbook does not define it.</t>
  </si>
  <si>
    <t>Question</t>
  </si>
  <si>
    <t>Your Answer</t>
  </si>
  <si>
    <t>Notes / Explanation</t>
  </si>
  <si>
    <t>Did revenue change materially from expectations or the prior period?</t>
  </si>
  <si>
    <t>Yes</t>
  </si>
  <si>
    <t>Up $9,000 on the prior month; slightly below budget.</t>
  </si>
  <si>
    <t>Did gross margin change materially?</t>
  </si>
  <si>
    <t>Down 1.5 points — more subcontracted delivery this month.</t>
  </si>
  <si>
    <t>Did operating expenses change materially?</t>
  </si>
  <si>
    <t>Not Sure</t>
  </si>
  <si>
    <t>Need to look at the software and marketing lines.</t>
  </si>
  <si>
    <t>Did operating profit change materially?</t>
  </si>
  <si>
    <t>Down $2,600 on the prior month.</t>
  </si>
  <si>
    <t>Are there unusual revenue or expense items this month?</t>
  </si>
  <si>
    <t>No</t>
  </si>
  <si>
    <t>SECTION B  —  CASH FLOW</t>
  </si>
  <si>
    <t>Change</t>
  </si>
  <si>
    <t>Beginning Cash</t>
  </si>
  <si>
    <t>Ending Cash</t>
  </si>
  <si>
    <t>Change in Cash</t>
  </si>
  <si>
    <t>Operating Cash Flow (if available)</t>
  </si>
  <si>
    <t>Cash and profit move for different reasons. A profitable month can still consume cash, usually through receivables, capital purchases, debt repayment or owner withdrawals.</t>
  </si>
  <si>
    <t>Did cash move in the same direction as profit?</t>
  </si>
  <si>
    <t>Profit positive but cash down $12,500.</t>
  </si>
  <si>
    <t>Were there significant customer collections affecting cash?</t>
  </si>
  <si>
    <t>Two large invoices slipped past month-end.</t>
  </si>
  <si>
    <t>Were there significant supplier payments?</t>
  </si>
  <si>
    <t>Annual insurance renewal paid.</t>
  </si>
  <si>
    <t>Were there major equipment purchases?</t>
  </si>
  <si>
    <t>Were there debt proceeds or repayments?</t>
  </si>
  <si>
    <t>Regular loan principal repayments.</t>
  </si>
  <si>
    <t>Were there significant owner withdrawals or distributions?</t>
  </si>
  <si>
    <t>Is there anything about the month's cash movement you cannot explain?</t>
  </si>
  <si>
    <t>Want to tie the movement back to the bank before signing off.</t>
  </si>
  <si>
    <t>SECTION C  —  WORKING CAPITAL</t>
  </si>
  <si>
    <t>Accounts Payable</t>
  </si>
  <si>
    <t>Inventory (if applicable)</t>
  </si>
  <si>
    <t>Did accounts receivable increase materially?</t>
  </si>
  <si>
    <t>Up $12,000 on the prior month.</t>
  </si>
  <si>
    <t>Are overdue customer balances increasing?</t>
  </si>
  <si>
    <t>Two balances now beyond 120 days — flagged on the checklist.</t>
  </si>
  <si>
    <t>Did accounts payable increase materially?</t>
  </si>
  <si>
    <t>Are supplier payments being delayed?</t>
  </si>
  <si>
    <t>Did inventory change materially, where applicable?</t>
  </si>
  <si>
    <t>This business does not carry inventory.</t>
  </si>
  <si>
    <t>SECTION D  —  FINANCIAL POSITION</t>
  </si>
  <si>
    <t>Total Debt</t>
  </si>
  <si>
    <t>Owner / Shareholder Equity (if available)</t>
  </si>
  <si>
    <t>Did debt increase during the month?</t>
  </si>
  <si>
    <t>Down $4,000 through scheduled repayments.</t>
  </si>
  <si>
    <t>Were there significant financing transactions?</t>
  </si>
  <si>
    <t>Were there significant owner or shareholder transactions?</t>
  </si>
  <si>
    <t>Are there balance-sheet movements you cannot explain?</t>
  </si>
  <si>
    <t>Suspense account still being cleared — on the checklist.</t>
  </si>
  <si>
    <t>SECTION E  —  MANAGEMENT QUESTIONS</t>
  </si>
  <si>
    <t>Five questions worth answering in your own words each month. This is the part most monthly processes skip, and the part that turns bookkeeping into management information.</t>
  </si>
  <si>
    <t>What was the most important financial change this month?</t>
  </si>
  <si>
    <t>Receivables grew faster than revenue and pulled cash down despite a profitable month.</t>
  </si>
  <si>
    <t>What performed better than expected?</t>
  </si>
  <si>
    <t>Revenue came in $9,000 ahead of the prior month.</t>
  </si>
  <si>
    <t>What performed worse than expected?</t>
  </si>
  <si>
    <t>Gross margin slipped 1.5 points and operating profit fell $2,600.</t>
  </si>
  <si>
    <t>Is there anything in the financial statements that requires investigation?</t>
  </si>
  <si>
    <t>Suspense account balance and the two long-overdue customer accounts.</t>
  </si>
  <si>
    <t>What financial decision or action should be followed up next month?</t>
  </si>
  <si>
    <t>Tighten collection follow-up and review subcontractor pricing on delivery work.</t>
  </si>
  <si>
    <t>Vertex Strategic Finance  |  FICTIONAL EXAMPLE DATA.  For general information and planning only — not accounting, tax, legal or financial advice.</t>
  </si>
  <si>
    <t>Open Items</t>
  </si>
  <si>
    <t>FICTIONAL EXAMPLE DATA</t>
  </si>
  <si>
    <t>Anything that needs investigating, correcting or following up — from the close, from the owner review, or from anywhere else.</t>
  </si>
  <si>
    <t>OPEN ITEM SUMMARY</t>
  </si>
  <si>
    <t>Unresolved Items</t>
  </si>
  <si>
    <t>Unresolved means an item still marked Open or In Progress. Past target date counts any unresolved item whose target resolution date has already passed. Resolved items are never counted as unresolved or past target date. Sample dates are illustrative — replace them with your own.</t>
  </si>
  <si>
    <t>High Priority — Unresolved</t>
  </si>
  <si>
    <t>Past Target Date — Unresolved</t>
  </si>
  <si>
    <t>Of Which In Progress</t>
  </si>
  <si>
    <t>Resolved Items</t>
  </si>
  <si>
    <t>FINANCIAL FOLLOW-UP ITEMS</t>
  </si>
  <si>
    <t>Date Identified</t>
  </si>
  <si>
    <t>Month</t>
  </si>
  <si>
    <t>Issue / Question</t>
  </si>
  <si>
    <t>Priority</t>
  </si>
  <si>
    <t>Resolution / Notes</t>
  </si>
  <si>
    <t>Jul 2026</t>
  </si>
  <si>
    <t>Merchant processor balance does not agree to the accounting records</t>
  </si>
  <si>
    <t>Unreconciled processor balances can hide missing deposits or fees.</t>
  </si>
  <si>
    <t>High</t>
  </si>
  <si>
    <t>Open</t>
  </si>
  <si>
    <t>Awaiting the platform statement for the period.</t>
  </si>
  <si>
    <t>Two customer balances are now beyond 120 days</t>
  </si>
  <si>
    <t>Long-overdue balances tie up cash and may not be fully collectible.</t>
  </si>
  <si>
    <t>Collection calls scheduled; discuss treatment with the accountant.</t>
  </si>
  <si>
    <t>Suspense account holds an unexplained balance</t>
  </si>
  <si>
    <t>Suspense balances should be cleared each month rather than carried forward.</t>
  </si>
  <si>
    <t>Normal</t>
  </si>
  <si>
    <t>Tracing the entries that created the balance.</t>
  </si>
  <si>
    <t>Subcontractor work delivered late in the month may not be recorded</t>
  </si>
  <si>
    <t>Costs recorded in the wrong month distort the results of both months.</t>
  </si>
  <si>
    <t>Confirm GST/HST filing frequency for the coming year</t>
  </si>
  <si>
    <t>Filing frequency affects when amounts must be remitted and reported.</t>
  </si>
  <si>
    <t>To confirm with the tax advisor — requirements vary by business.</t>
  </si>
  <si>
    <t>Gross margin fell 1.5 percentage points on the prior month</t>
  </si>
  <si>
    <t>Margin movements compound quickly if the cause is not understood.</t>
  </si>
  <si>
    <t>Jun 2026</t>
  </si>
  <si>
    <t>Vacation accrual not recorded for June</t>
  </si>
  <si>
    <t>Unrecorded accruals understate costs in the month they relate to.</t>
  </si>
  <si>
    <t>Resolved</t>
  </si>
  <si>
    <t>Recorded in the June adjusting entries.</t>
  </si>
  <si>
    <t>Equipment purchase coded to repairs and maintenance</t>
  </si>
  <si>
    <t>Capital items expensed in error distort both profit and the balance sheet.</t>
  </si>
  <si>
    <t>Reclassified to equipment; depreciation set up.</t>
  </si>
  <si>
    <t>Vertex Strategic Finance  |  FICTIONAL EXAMPLE DATA.  Blank rows are provided for your own items.</t>
  </si>
  <si>
    <t>Close History</t>
  </si>
  <si>
    <t>Twelve months of close performance, measured against the target you set on the CLOSE SETUP tab — not against any external standard.</t>
  </si>
  <si>
    <t>CLOSE HISTORY SUMMARY</t>
  </si>
  <si>
    <t>Most Recent Close Completion %</t>
  </si>
  <si>
    <t>Calendar days are used throughout, measured from month-end to the actual close date, so the workbook never has to make assumptions about weekends or public holidays. Your target comes from the CLOSE SETUP tab and is yours alone — this workbook does not suggest how quickly any business should close its books. Close timing varies widely with transaction volume, systems, staffing and how much sits outside the accounting system.</t>
  </si>
  <si>
    <t>Most Recent Calendar Days to Close</t>
  </si>
  <si>
    <t>Average Calendar Days to Close</t>
  </si>
  <si>
    <t>Fastest Close</t>
  </si>
  <si>
    <t>Slowest Close</t>
  </si>
  <si>
    <t>Months Owner Review Completed</t>
  </si>
  <si>
    <t>Open Items Trend</t>
  </si>
  <si>
    <t>MONTHLY CLOSE HISTORY</t>
  </si>
  <si>
    <t>Actual Close Date</t>
  </si>
  <si>
    <t>Calendar Days to Close</t>
  </si>
  <si>
    <t>Open Items at Close</t>
  </si>
  <si>
    <t>High Priority Items</t>
  </si>
  <si>
    <t>Jul 2025</t>
  </si>
  <si>
    <t>First month using the checklist.</t>
  </si>
  <si>
    <t>Aug 2025</t>
  </si>
  <si>
    <t>Sep 2025</t>
  </si>
  <si>
    <t>Review deferred — owner travelling.</t>
  </si>
  <si>
    <t>Oct 2025</t>
  </si>
  <si>
    <t>Nov 2025</t>
  </si>
  <si>
    <t>Dec 2025</t>
  </si>
  <si>
    <t>Year-end month.</t>
  </si>
  <si>
    <t>Jan 2026</t>
  </si>
  <si>
    <t>Feb 2026</t>
  </si>
  <si>
    <t>Bookkeeper away; close ran long.</t>
  </si>
  <si>
    <t>Mar 2026</t>
  </si>
  <si>
    <t>Apr 2026</t>
  </si>
  <si>
    <t>May 2026</t>
  </si>
  <si>
    <t>Vertex Strategic Finance  |  FICTIONAL EXAMPLE DATA.  Replace with your own close history as the months go by.</t>
  </si>
  <si>
    <t>Monthly Close Dashboard</t>
  </si>
  <si>
    <t>Where the close stands, what is still outstanding, and what the numbers are saying  —  FICTIONAL EXAMPLE DATA.</t>
  </si>
  <si>
    <t>CLOSE STATUS</t>
  </si>
  <si>
    <t>CLOSE COMPLETION</t>
  </si>
  <si>
    <t>APPLICABLE TASKS</t>
  </si>
  <si>
    <t>TASKS COMPLETE</t>
  </si>
  <si>
    <t>OUTSTANDING TASKS</t>
  </si>
  <si>
    <t>not started plus in progress</t>
  </si>
  <si>
    <t>TASKS FLAGGED NEEDS REVIEW</t>
  </si>
  <si>
    <t>UNRESOLVED OPEN ITEMS</t>
  </si>
  <si>
    <t>CALENDAR DAYS TO CLOSE</t>
  </si>
  <si>
    <t>see the MONTHLY CLOSE tab</t>
  </si>
  <si>
    <t>1.  Close Progress by Area  —  % of applicable tasks complete</t>
  </si>
  <si>
    <t>MONTH-END PULSE</t>
  </si>
  <si>
    <t>▪</t>
  </si>
  <si>
    <t>Closing the books is Part 1.  Understanding what the numbers are telling you — and deciding what to do next — is Part 2.</t>
  </si>
  <si>
    <t>Every observation above is generated from the entries you make in this workbook and is measured against your own target close timing — no external standard or benchmark is applied anywhere. Completing this checklist does not certify, confirm or provide any assurance on the books or financial statements, is not an audit or review engagement, and does not confirm compliance with any tax or accounting requirement. Nothing here is accounting, tax, legal, investment, financing or financial advice. All figures shown are FICTIONAL EXAMPLE DATA.</t>
  </si>
  <si>
    <t>Vertex Strategic Finance   |   www.vertexstrategicfinance.ca   |   info@vertexstrategicfinance.ca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</si>
</sst>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mmm\ d\,\ yyyy"/>
    <numFmt numFmtId="165" formatCode="0&quot; days&quot;"/>
    <numFmt numFmtId="166" formatCode="0.0%"/>
    <numFmt numFmtId="167" formatCode="\$#,##0;\(\$#,##0\);&quot;-&quot;"/>
    <numFmt numFmtId="168" formatCode="\+0.0&quot; pp&quot;;\-0.0&quot; pp&quot;;0.0&quot; pp&quot;"/>
    <numFmt numFmtId="169" formatCode="0.0&quot; days&quot;"/>
    <numFmt numFmtId="170" formatCode="0&quot; of 12&quot;"/>
  </numFmts>
  <fonts count="54" x14ac:knownFonts="1">
    <font>
      <sz val="11"/>
      <color theme="1"/>
      <name val="Calibri"/>
      <family val="2"/>
      <charset val="1"/>
    </font>
    <font>
      <b/>
      <sz val="9"/>
      <color rgb="FF8FB8C9"/>
      <name val="Arial"/>
      <charset val="1"/>
    </font>
    <font>
      <b/>
      <sz val="22"/>
      <color rgb="FFFFFFFF"/>
      <name val="Arial"/>
      <charset val="1"/>
    </font>
    <font>
      <sz val="11"/>
      <color rgb="FFC7D9E2"/>
      <name val="Arial"/>
      <charset val="1"/>
    </font>
    <font>
      <b/>
      <sz val="12"/>
      <color rgb="FF083152"/>
      <name val="Arial"/>
      <charset val="1"/>
    </font>
    <font>
      <sz val="10.5"/>
      <color rgb="FF1A1A1A"/>
      <name val="Arial"/>
      <charset val="1"/>
    </font>
    <font>
      <sz val="10.5"/>
      <color rgb="FF23727C"/>
      <name val="Arial"/>
      <charset val="1"/>
    </font>
    <font>
      <b/>
      <sz val="10.5"/>
      <color rgb="FF083152"/>
      <name val="Arial"/>
      <charset val="1"/>
    </font>
    <font>
      <b/>
      <sz val="9.5"/>
      <color rgb="FFFFFFFF"/>
      <name val="Arial"/>
      <charset val="1"/>
    </font>
    <font>
      <sz val="8.5"/>
      <color rgb="FF6B7A85"/>
      <name val="Arial"/>
      <charset val="1"/>
    </font>
    <font>
      <i/>
      <sz val="9"/>
      <color rgb="FF6B7A85"/>
      <name val="Arial"/>
      <charset val="1"/>
    </font>
    <font>
      <b/>
      <sz val="10.5"/>
      <color rgb="FF23727C"/>
      <name val="Arial"/>
      <charset val="1"/>
    </font>
    <font>
      <i/>
      <sz val="8.5"/>
      <color rgb="FF6B7A85"/>
      <name val="Arial"/>
      <charset val="1"/>
    </font>
    <font>
      <sz val="9.5"/>
      <color rgb="FF6B7A85"/>
      <name val="Arial"/>
      <charset val="1"/>
    </font>
    <font>
      <b/>
      <sz val="9"/>
      <color rgb="FF23727C"/>
      <name val="Arial"/>
      <charset val="1"/>
    </font>
    <font>
      <sz val="10.5"/>
      <color rgb="FF083152"/>
      <name val="Arial"/>
      <charset val="1"/>
    </font>
    <font>
      <b/>
      <sz val="10"/>
      <color rgb="FF0B4A63"/>
      <name val="Arial"/>
      <charset val="1"/>
    </font>
    <font>
      <b/>
      <sz val="10"/>
      <color rgb="FF083152"/>
      <name val="Arial"/>
      <charset val="1"/>
    </font>
    <font>
      <b/>
      <sz val="9"/>
      <color rgb="FF6B7A85"/>
      <name val="Arial"/>
      <charset val="1"/>
    </font>
    <font>
      <b/>
      <sz val="13"/>
      <color rgb="FFFFFFFF"/>
      <name val="Arial"/>
      <charset val="1"/>
    </font>
    <font>
      <sz val="10"/>
      <color rgb="FF9FBECF"/>
      <name val="Arial"/>
      <charset val="1"/>
    </font>
    <font>
      <sz val="10"/>
      <color rgb="FF6FB3BC"/>
      <name val="Arial"/>
      <charset val="1"/>
    </font>
    <font>
      <b/>
      <sz val="20"/>
      <color rgb="FFFFFFFF"/>
      <name val="Arial"/>
      <charset val="1"/>
    </font>
    <font>
      <sz val="10"/>
      <color rgb="FFC7D9E2"/>
      <name val="Arial"/>
      <charset val="1"/>
    </font>
    <font>
      <b/>
      <sz val="10.5"/>
      <color rgb="FFFFFFFF"/>
      <name val="Arial"/>
      <charset val="1"/>
    </font>
    <font>
      <b/>
      <sz val="9"/>
      <color rgb="FF083152"/>
      <name val="Arial"/>
      <charset val="1"/>
    </font>
    <font>
      <sz val="10"/>
      <color rgb="FF0B4A63"/>
      <name val="Arial"/>
      <charset val="1"/>
    </font>
    <font>
      <sz val="9"/>
      <color rgb="FF6B7A85"/>
      <name val="Arial"/>
      <charset val="1"/>
    </font>
    <font>
      <b/>
      <sz val="9.5"/>
      <color rgb="FF083152"/>
      <name val="Arial"/>
      <charset val="1"/>
    </font>
    <font>
      <sz val="9.5"/>
      <color rgb="FF23727C"/>
      <name val="Arial"/>
      <charset val="1"/>
    </font>
    <font>
      <i/>
      <sz val="9.5"/>
      <color rgb="FF6B7A85"/>
      <name val="Arial"/>
      <charset val="1"/>
    </font>
    <font>
      <sz val="10"/>
      <name val="Arial"/>
      <family val="2"/>
    </font>
    <font>
      <b/>
      <sz val="8.5"/>
      <color rgb="FF8FB8C9"/>
      <name val="Arial"/>
      <charset val="1"/>
    </font>
    <font>
      <b/>
      <sz val="18"/>
      <color rgb="FFFFFFFF"/>
      <name val="Arial"/>
      <charset val="1"/>
    </font>
    <font>
      <i/>
      <sz val="9"/>
      <color rgb="FF9FBECF"/>
      <name val="Arial"/>
      <charset val="1"/>
    </font>
    <font>
      <sz val="9"/>
      <color rgb="FFC7D9E2"/>
      <name val="Arial"/>
      <charset val="1"/>
    </font>
    <font>
      <b/>
      <sz val="11"/>
      <color rgb="FF083152"/>
      <name val="Arial"/>
      <charset val="1"/>
    </font>
    <font>
      <b/>
      <sz val="12"/>
      <color rgb="FF23727C"/>
      <name val="Arial"/>
      <charset val="1"/>
    </font>
    <font>
      <b/>
      <sz val="10"/>
      <color rgb="FFFFFFFF"/>
      <name val="Arial"/>
      <charset val="1"/>
    </font>
    <font>
      <sz val="9.5"/>
      <color rgb="FF0B4A63"/>
      <name val="Arial"/>
      <charset val="1"/>
    </font>
    <font>
      <sz val="9"/>
      <color rgb="FF0B4A63"/>
      <name val="Arial"/>
      <charset val="1"/>
    </font>
    <font>
      <b/>
      <sz val="10.5"/>
      <color rgb="FF0B4A63"/>
      <name val="Arial"/>
      <charset val="1"/>
    </font>
    <font>
      <sz val="10"/>
      <color rgb="FF1A1A1A"/>
      <name val="Arial"/>
      <charset val="1"/>
    </font>
    <font>
      <b/>
      <sz val="9.5"/>
      <color rgb="FF0B4A63"/>
      <name val="Arial"/>
      <charset val="1"/>
    </font>
    <font>
      <b/>
      <sz val="11"/>
      <color rgb="FF23727C"/>
      <name val="Arial"/>
      <charset val="1"/>
    </font>
    <font>
      <i/>
      <sz val="8.5"/>
      <color rgb="FF7FA3B5"/>
      <name val="Arial"/>
      <charset val="1"/>
    </font>
    <font>
      <b/>
      <sz val="8"/>
      <color rgb="FF6B7A85"/>
      <name val="Arial"/>
      <charset val="1"/>
    </font>
    <font>
      <sz val="8"/>
      <color rgb="FFFFFFFF"/>
      <name val="Arial"/>
      <charset val="1"/>
    </font>
    <font>
      <b/>
      <sz val="21"/>
      <color rgb="FF083152"/>
      <name val="Arial"/>
      <charset val="1"/>
    </font>
    <font>
      <b/>
      <sz val="7.5"/>
      <color rgb="FF6B7A85"/>
      <name val="Arial"/>
      <charset val="1"/>
    </font>
    <font>
      <b/>
      <sz val="17"/>
      <color rgb="FF083152"/>
      <name val="Arial"/>
      <charset val="1"/>
    </font>
    <font>
      <sz val="7.5"/>
      <color rgb="FF6B7A85"/>
      <name val="Arial"/>
      <charset val="1"/>
    </font>
    <font>
      <sz val="9"/>
      <color rgb="FF23727C"/>
      <name val="Arial"/>
      <charset val="1"/>
    </font>
    <font>
      <sz val="9"/>
      <color rgb="FF1A1A1A"/>
      <name val="Arial"/>
      <charset val="1"/>
    </font>
  </fonts>
  <fills count="7">
    <fill>
      <patternFill patternType="none"/>
    </fill>
    <fill>
      <patternFill patternType="gray125"/>
    </fill>
    <fill>
      <patternFill patternType="solid">
        <fgColor rgb="FF083152"/>
        <bgColor rgb="FF0B4A63"/>
      </patternFill>
    </fill>
    <fill>
      <patternFill patternType="solid">
        <fgColor rgb="FF23727C"/>
        <bgColor rgb="FF008080"/>
      </patternFill>
    </fill>
    <fill>
      <patternFill patternType="solid">
        <fgColor rgb="FFF4F6F8"/>
        <bgColor rgb="FFEDF4F5"/>
      </patternFill>
    </fill>
    <fill>
      <patternFill patternType="solid">
        <fgColor rgb="FFEDF4F5"/>
        <bgColor rgb="FFF4F6F8"/>
      </patternFill>
    </fill>
    <fill>
      <patternFill patternType="solid">
        <fgColor rgb="FFC7D9E2"/>
        <bgColor rgb="FFD6DDE2"/>
      </patternFill>
    </fill>
  </fills>
  <borders count="20">
    <border>
      <left/>
      <right/>
      <top/>
      <bottom/>
      <diagonal/>
    </border>
    <border>
      <left/>
      <right/>
      <top/>
      <bottom style="medium">
        <color rgb="FF23727C"/>
      </bottom>
      <diagonal/>
    </border>
    <border>
      <left style="thin">
        <color rgb="FFD6DDE2"/>
      </left>
      <right style="thin">
        <color rgb="FFD6DDE2"/>
      </right>
      <top style="thin">
        <color rgb="FFD6DDE2"/>
      </top>
      <bottom/>
      <diagonal/>
    </border>
    <border>
      <left style="thin">
        <color rgb="FFD6DDE2"/>
      </left>
      <right style="thin">
        <color rgb="FFD6DDE2"/>
      </right>
      <top/>
      <bottom style="thin">
        <color rgb="FFD6DDE2"/>
      </bottom>
      <diagonal/>
    </border>
    <border>
      <left style="thick">
        <color rgb="FF23727C"/>
      </left>
      <right style="thin">
        <color rgb="FF23727C"/>
      </right>
      <top style="thin">
        <color rgb="FF23727C"/>
      </top>
      <bottom/>
      <diagonal/>
    </border>
    <border>
      <left style="thick">
        <color rgb="FF23727C"/>
      </left>
      <right style="thin">
        <color rgb="FF23727C"/>
      </right>
      <top/>
      <bottom/>
      <diagonal/>
    </border>
    <border>
      <left style="thick">
        <color rgb="FF23727C"/>
      </left>
      <right/>
      <top/>
      <bottom style="thin">
        <color rgb="FF23727C"/>
      </bottom>
      <diagonal/>
    </border>
    <border>
      <left/>
      <right/>
      <top/>
      <bottom style="thin">
        <color rgb="FF23727C"/>
      </bottom>
      <diagonal/>
    </border>
    <border>
      <left/>
      <right style="thin">
        <color rgb="FF23727C"/>
      </right>
      <top/>
      <bottom style="thin">
        <color rgb="FF23727C"/>
      </bottom>
      <diagonal/>
    </border>
    <border>
      <left style="thin">
        <color rgb="FF23727C"/>
      </left>
      <right style="thin">
        <color rgb="FF23727C"/>
      </right>
      <top style="thin">
        <color rgb="FF23727C"/>
      </top>
      <bottom style="thin">
        <color rgb="FF23727C"/>
      </bottom>
      <diagonal/>
    </border>
    <border>
      <left/>
      <right/>
      <top/>
      <bottom style="thin">
        <color rgb="FF083152"/>
      </bottom>
      <diagonal/>
    </border>
    <border>
      <left style="thin">
        <color rgb="FFD6DDE2"/>
      </left>
      <right style="thin">
        <color rgb="FFD6DDE2"/>
      </right>
      <top/>
      <bottom/>
      <diagonal/>
    </border>
    <border>
      <left style="thin">
        <color rgb="FFD6DDE2"/>
      </left>
      <right style="thin">
        <color rgb="FFD6DDE2"/>
      </right>
      <top style="thin">
        <color rgb="FFD6DDE2"/>
      </top>
      <bottom style="thin">
        <color rgb="FFD6DDE2"/>
      </bottom>
      <diagonal/>
    </border>
    <border>
      <left/>
      <right/>
      <top/>
      <bottom style="thin">
        <color rgb="FFD6DDE2"/>
      </bottom>
      <diagonal/>
    </border>
    <border>
      <left style="thin">
        <color rgb="FF083152"/>
      </left>
      <right/>
      <top style="thin">
        <color rgb="FF083152"/>
      </top>
      <bottom style="thin">
        <color rgb="FF083152"/>
      </bottom>
      <diagonal/>
    </border>
    <border>
      <left/>
      <right style="thin">
        <color rgb="FF083152"/>
      </right>
      <top style="thin">
        <color rgb="FF083152"/>
      </top>
      <bottom style="thin">
        <color rgb="FF083152"/>
      </bottom>
      <diagonal/>
    </border>
    <border>
      <left style="thin">
        <color rgb="FFD6DDE2"/>
      </left>
      <right/>
      <top/>
      <bottom/>
      <diagonal/>
    </border>
    <border>
      <left/>
      <right style="thin">
        <color rgb="FFD6DDE2"/>
      </right>
      <top/>
      <bottom/>
      <diagonal/>
    </border>
    <border>
      <left style="thin">
        <color rgb="FFD6DDE2"/>
      </left>
      <right/>
      <top/>
      <bottom style="thin">
        <color rgb="FFD6DDE2"/>
      </bottom>
      <diagonal/>
    </border>
    <border>
      <left/>
      <right style="thin">
        <color rgb="FFD6DDE2"/>
      </right>
      <top/>
      <bottom style="thin">
        <color rgb="FFD6DDE2"/>
      </bottom>
      <diagonal/>
    </border>
  </borders>
  <cellStyleXfs count="1">
    <xf numFmtId="0" fontId="0" fillId="0" borderId="0"/>
  </cellStyleXfs>
  <cellXfs count="145">
    <xf numFmtId="0" fontId="0" fillId="0" borderId="0" xfId="0"/>
    <xf numFmtId="0" fontId="5" fillId="0" borderId="0" xfId="0" applyFont="1" applyAlignment="1">
      <alignment horizontal="left" vertical="center" indent="1"/>
    </xf>
    <xf numFmtId="0" fontId="16" fillId="5" borderId="9" xfId="0" applyFont="1" applyFill="1" applyBorder="1" applyAlignment="1">
      <alignment horizontal="center" vertical="center"/>
    </xf>
    <xf numFmtId="0" fontId="15" fillId="4" borderId="5" xfId="0" applyFont="1" applyFill="1" applyBorder="1" applyAlignment="1">
      <alignment horizontal="left" vertical="center" wrapText="1" indent="1"/>
    </xf>
    <xf numFmtId="0" fontId="14" fillId="4" borderId="4" xfId="0" applyFont="1" applyFill="1" applyBorder="1" applyAlignment="1">
      <alignment horizontal="left" vertical="center" indent="1"/>
    </xf>
    <xf numFmtId="0" fontId="13" fillId="0" borderId="0" xfId="0" applyFont="1" applyAlignment="1">
      <alignment horizontal="left" vertical="center"/>
    </xf>
    <xf numFmtId="0" fontId="7" fillId="0" borderId="0" xfId="0" applyFont="1" applyAlignment="1">
      <alignment horizontal="left" vertical="center"/>
    </xf>
    <xf numFmtId="0" fontId="10"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1" xfId="0" applyFont="1" applyBorder="1" applyAlignment="1">
      <alignment horizontal="left"/>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left"/>
    </xf>
    <xf numFmtId="0" fontId="0" fillId="2" borderId="0" xfId="0" applyFill="1"/>
    <xf numFmtId="0" fontId="6" fillId="0" borderId="0" xfId="0" applyFont="1" applyAlignment="1">
      <alignment horizontal="right" vertical="center"/>
    </xf>
    <xf numFmtId="0" fontId="8" fillId="2" borderId="2" xfId="0" applyFont="1" applyFill="1" applyBorder="1" applyAlignment="1">
      <alignment horizontal="center" vertical="center"/>
    </xf>
    <xf numFmtId="0" fontId="8" fillId="3" borderId="2" xfId="0" applyFont="1" applyFill="1" applyBorder="1" applyAlignment="1">
      <alignment horizontal="center" vertical="center"/>
    </xf>
    <xf numFmtId="0" fontId="9" fillId="4" borderId="3" xfId="0" applyFont="1" applyFill="1" applyBorder="1" applyAlignment="1">
      <alignment horizontal="center" vertical="top" wrapText="1"/>
    </xf>
    <xf numFmtId="0" fontId="11" fillId="0" borderId="0" xfId="0" applyFont="1" applyAlignment="1">
      <alignment horizontal="right" vertical="center"/>
    </xf>
    <xf numFmtId="0" fontId="12" fillId="0" borderId="0" xfId="0" applyFont="1" applyAlignment="1">
      <alignment horizontal="right" vertical="center"/>
    </xf>
    <xf numFmtId="0" fontId="0" fillId="4" borderId="6" xfId="0" applyFill="1" applyBorder="1"/>
    <xf numFmtId="0" fontId="0" fillId="4" borderId="7" xfId="0" applyFill="1" applyBorder="1"/>
    <xf numFmtId="0" fontId="0" fillId="4" borderId="8" xfId="0" applyFill="1" applyBorder="1"/>
    <xf numFmtId="0" fontId="5" fillId="0" borderId="0" xfId="0" applyFont="1" applyAlignment="1">
      <alignment horizontal="left" vertical="center" indent="1"/>
    </xf>
    <xf numFmtId="0" fontId="25" fillId="0" borderId="10" xfId="0" applyFont="1" applyBorder="1" applyAlignment="1">
      <alignment horizontal="left" vertical="center" indent="1"/>
    </xf>
    <xf numFmtId="0" fontId="25" fillId="0" borderId="10" xfId="0" applyFont="1" applyBorder="1" applyAlignment="1">
      <alignment horizontal="right" vertical="center"/>
    </xf>
    <xf numFmtId="0" fontId="0" fillId="0" borderId="10" xfId="0" applyBorder="1"/>
    <xf numFmtId="0" fontId="7" fillId="0" borderId="0" xfId="0" applyFont="1" applyAlignment="1">
      <alignment horizontal="left" vertical="center" indent="1"/>
    </xf>
    <xf numFmtId="0" fontId="26" fillId="5" borderId="9" xfId="0" applyFont="1" applyFill="1" applyBorder="1" applyAlignment="1" applyProtection="1">
      <alignment horizontal="left" vertical="center"/>
      <protection locked="0"/>
    </xf>
    <xf numFmtId="164" fontId="26" fillId="5" borderId="9" xfId="0" applyNumberFormat="1" applyFont="1" applyFill="1" applyBorder="1" applyAlignment="1" applyProtection="1">
      <alignment horizontal="right" vertical="center"/>
      <protection locked="0"/>
    </xf>
    <xf numFmtId="165" fontId="26" fillId="5" borderId="9" xfId="0" applyNumberFormat="1" applyFont="1" applyFill="1" applyBorder="1" applyAlignment="1" applyProtection="1">
      <alignment horizontal="right" vertical="center"/>
      <protection locked="0"/>
    </xf>
    <xf numFmtId="0" fontId="7" fillId="4" borderId="0" xfId="0" applyFont="1" applyFill="1" applyAlignment="1">
      <alignment horizontal="left" vertical="center" indent="1"/>
    </xf>
    <xf numFmtId="164" fontId="7" fillId="4" borderId="0" xfId="0" applyNumberFormat="1" applyFont="1" applyFill="1" applyAlignment="1">
      <alignment horizontal="right" vertical="center"/>
    </xf>
    <xf numFmtId="0" fontId="13" fillId="0" borderId="0" xfId="0" applyFont="1" applyAlignment="1">
      <alignment horizontal="left" vertical="center" indent="1"/>
    </xf>
    <xf numFmtId="0" fontId="5" fillId="0" borderId="13" xfId="0" applyFont="1" applyBorder="1" applyAlignment="1">
      <alignment horizontal="right" vertical="center"/>
    </xf>
    <xf numFmtId="1" fontId="7" fillId="0" borderId="13" xfId="0" applyNumberFormat="1" applyFont="1" applyBorder="1" applyAlignment="1">
      <alignment horizontal="left" vertical="center" indent="1"/>
    </xf>
    <xf numFmtId="0" fontId="7" fillId="4" borderId="13" xfId="0" applyFont="1" applyFill="1" applyBorder="1" applyAlignment="1">
      <alignment horizontal="right" vertical="center"/>
    </xf>
    <xf numFmtId="1" fontId="4" fillId="4" borderId="13" xfId="0" applyNumberFormat="1" applyFont="1" applyFill="1" applyBorder="1" applyAlignment="1">
      <alignment horizontal="left" vertical="center" indent="1"/>
    </xf>
    <xf numFmtId="166" fontId="4" fillId="4" borderId="13" xfId="0" applyNumberFormat="1" applyFont="1" applyFill="1" applyBorder="1" applyAlignment="1">
      <alignment horizontal="left" vertical="center" indent="1"/>
    </xf>
    <xf numFmtId="0" fontId="36" fillId="4" borderId="14" xfId="0" applyFont="1" applyFill="1" applyBorder="1" applyAlignment="1">
      <alignment horizontal="right" vertical="center"/>
    </xf>
    <xf numFmtId="0" fontId="37" fillId="4" borderId="15" xfId="0" applyFont="1" applyFill="1" applyBorder="1" applyAlignment="1">
      <alignment horizontal="left" vertical="center" indent="1"/>
    </xf>
    <xf numFmtId="0" fontId="25" fillId="0" borderId="10" xfId="0" applyFont="1" applyBorder="1" applyAlignment="1">
      <alignment horizontal="center" vertical="center"/>
    </xf>
    <xf numFmtId="0" fontId="27" fillId="0" borderId="13" xfId="0" applyFont="1" applyBorder="1" applyAlignment="1">
      <alignment horizontal="center" vertical="center"/>
    </xf>
    <xf numFmtId="0" fontId="27" fillId="0" borderId="13" xfId="0" applyFont="1" applyBorder="1" applyAlignment="1">
      <alignment horizontal="left" vertical="center" indent="1"/>
    </xf>
    <xf numFmtId="0" fontId="17" fillId="0" borderId="13" xfId="0" applyFont="1" applyBorder="1" applyAlignment="1">
      <alignment horizontal="left" vertical="center" wrapText="1" indent="1"/>
    </xf>
    <xf numFmtId="0" fontId="27" fillId="0" borderId="13" xfId="0" applyFont="1" applyBorder="1" applyAlignment="1">
      <alignment horizontal="left" vertical="center" wrapText="1"/>
    </xf>
    <xf numFmtId="0" fontId="39" fillId="5" borderId="9" xfId="0" applyFont="1" applyFill="1" applyBorder="1" applyAlignment="1" applyProtection="1">
      <alignment horizontal="center" vertical="center"/>
      <protection locked="0"/>
    </xf>
    <xf numFmtId="164" fontId="39" fillId="5" borderId="9" xfId="0" applyNumberFormat="1" applyFont="1" applyFill="1" applyBorder="1" applyAlignment="1" applyProtection="1">
      <alignment horizontal="center" vertical="center"/>
      <protection locked="0"/>
    </xf>
    <xf numFmtId="0" fontId="40" fillId="5" borderId="9" xfId="0" applyFont="1" applyFill="1" applyBorder="1" applyAlignment="1" applyProtection="1">
      <alignment horizontal="left" vertical="center" wrapText="1"/>
      <protection locked="0"/>
    </xf>
    <xf numFmtId="0" fontId="26" fillId="5" borderId="9" xfId="0" applyFont="1" applyFill="1" applyBorder="1" applyAlignment="1" applyProtection="1">
      <alignment horizontal="center" vertical="center"/>
      <protection locked="0"/>
    </xf>
    <xf numFmtId="0" fontId="37" fillId="4" borderId="0" xfId="0" applyFont="1" applyFill="1" applyAlignment="1">
      <alignment horizontal="center" vertical="center"/>
    </xf>
    <xf numFmtId="0" fontId="5" fillId="0" borderId="13" xfId="0" applyFont="1" applyBorder="1" applyAlignment="1">
      <alignment horizontal="left" vertical="center" indent="1"/>
    </xf>
    <xf numFmtId="167" fontId="26" fillId="5" borderId="13" xfId="0" applyNumberFormat="1" applyFont="1" applyFill="1" applyBorder="1" applyAlignment="1" applyProtection="1">
      <alignment horizontal="right" vertical="center"/>
      <protection locked="0"/>
    </xf>
    <xf numFmtId="167" fontId="6" fillId="0" borderId="13" xfId="0" applyNumberFormat="1" applyFont="1" applyBorder="1" applyAlignment="1">
      <alignment horizontal="right" vertical="center"/>
    </xf>
    <xf numFmtId="0" fontId="7" fillId="4" borderId="13" xfId="0" applyFont="1" applyFill="1" applyBorder="1" applyAlignment="1">
      <alignment horizontal="left" vertical="center" indent="1"/>
    </xf>
    <xf numFmtId="166" fontId="7" fillId="4" borderId="13" xfId="0" applyNumberFormat="1" applyFont="1" applyFill="1" applyBorder="1" applyAlignment="1">
      <alignment horizontal="right" vertical="center"/>
    </xf>
    <xf numFmtId="168" fontId="6" fillId="4" borderId="13" xfId="0" applyNumberFormat="1" applyFont="1" applyFill="1" applyBorder="1" applyAlignment="1">
      <alignment horizontal="right" vertical="center"/>
    </xf>
    <xf numFmtId="167" fontId="41" fillId="5" borderId="13" xfId="0" applyNumberFormat="1" applyFont="1" applyFill="1" applyBorder="1" applyAlignment="1" applyProtection="1">
      <alignment horizontal="right" vertical="center"/>
      <protection locked="0"/>
    </xf>
    <xf numFmtId="167" fontId="6" fillId="4" borderId="13" xfId="0" applyNumberFormat="1" applyFont="1" applyFill="1" applyBorder="1" applyAlignment="1">
      <alignment horizontal="right" vertical="center"/>
    </xf>
    <xf numFmtId="0" fontId="42" fillId="0" borderId="0" xfId="0" applyFont="1" applyAlignment="1">
      <alignment horizontal="left" vertical="center" wrapText="1" indent="1"/>
    </xf>
    <xf numFmtId="0" fontId="39" fillId="5" borderId="9" xfId="0" applyFont="1" applyFill="1" applyBorder="1" applyAlignment="1" applyProtection="1">
      <alignment horizontal="left" vertical="center" wrapText="1" indent="1"/>
      <protection locked="0"/>
    </xf>
    <xf numFmtId="0" fontId="0" fillId="0" borderId="13" xfId="0" applyBorder="1"/>
    <xf numFmtId="167" fontId="36" fillId="4" borderId="0" xfId="0" applyNumberFormat="1" applyFont="1" applyFill="1" applyAlignment="1">
      <alignment horizontal="right" vertical="center"/>
    </xf>
    <xf numFmtId="0" fontId="0" fillId="4" borderId="0" xfId="0" applyFill="1"/>
    <xf numFmtId="167" fontId="26" fillId="5" borderId="9" xfId="0" applyNumberFormat="1" applyFont="1" applyFill="1" applyBorder="1" applyAlignment="1" applyProtection="1">
      <alignment horizontal="right" vertical="center"/>
      <protection locked="0"/>
    </xf>
    <xf numFmtId="0" fontId="7" fillId="0" borderId="0" xfId="0" applyFont="1" applyAlignment="1">
      <alignment horizontal="left" vertical="top" wrapText="1" indent="1"/>
    </xf>
    <xf numFmtId="0" fontId="43" fillId="5" borderId="9" xfId="0" applyFont="1" applyFill="1" applyBorder="1" applyAlignment="1" applyProtection="1">
      <alignment horizontal="left" vertical="center" wrapText="1" indent="1"/>
      <protection locked="0"/>
    </xf>
    <xf numFmtId="165" fontId="4" fillId="4" borderId="13" xfId="0" applyNumberFormat="1" applyFont="1" applyFill="1" applyBorder="1" applyAlignment="1">
      <alignment horizontal="left" vertical="center" indent="1"/>
    </xf>
    <xf numFmtId="169" fontId="7" fillId="0" borderId="13" xfId="0" applyNumberFormat="1" applyFont="1" applyBorder="1" applyAlignment="1">
      <alignment horizontal="left" vertical="center" indent="1"/>
    </xf>
    <xf numFmtId="165" fontId="7" fillId="0" borderId="13" xfId="0" applyNumberFormat="1" applyFont="1" applyBorder="1" applyAlignment="1">
      <alignment horizontal="left" vertical="center" indent="1"/>
    </xf>
    <xf numFmtId="170" fontId="7" fillId="0" borderId="13" xfId="0" applyNumberFormat="1" applyFont="1" applyBorder="1" applyAlignment="1">
      <alignment horizontal="left" vertical="center" indent="1"/>
    </xf>
    <xf numFmtId="0" fontId="7" fillId="4" borderId="0" xfId="0" applyFont="1" applyFill="1" applyAlignment="1">
      <alignment horizontal="right" vertical="center"/>
    </xf>
    <xf numFmtId="0" fontId="44" fillId="4" borderId="0" xfId="0" applyFont="1" applyFill="1" applyAlignment="1">
      <alignment horizontal="left" vertical="center" indent="1"/>
    </xf>
    <xf numFmtId="0" fontId="25" fillId="0" borderId="10" xfId="0" applyFont="1" applyBorder="1" applyAlignment="1">
      <alignment horizontal="left" vertical="center" wrapText="1" indent="1"/>
    </xf>
    <xf numFmtId="0" fontId="25" fillId="0" borderId="10" xfId="0" applyFont="1" applyBorder="1" applyAlignment="1">
      <alignment horizontal="center" vertical="center" wrapText="1"/>
    </xf>
    <xf numFmtId="0" fontId="39" fillId="5" borderId="9" xfId="0" applyFont="1" applyFill="1" applyBorder="1" applyAlignment="1" applyProtection="1">
      <alignment horizontal="left" vertical="center"/>
      <protection locked="0"/>
    </xf>
    <xf numFmtId="165" fontId="17" fillId="4" borderId="0" xfId="0" applyNumberFormat="1" applyFont="1" applyFill="1" applyAlignment="1">
      <alignment horizontal="center" vertical="center"/>
    </xf>
    <xf numFmtId="9" fontId="39" fillId="5" borderId="9" xfId="0" applyNumberFormat="1" applyFont="1" applyFill="1" applyBorder="1" applyAlignment="1" applyProtection="1">
      <alignment horizontal="center" vertical="center"/>
      <protection locked="0"/>
    </xf>
    <xf numFmtId="1" fontId="39" fillId="5" borderId="9" xfId="0" applyNumberFormat="1" applyFont="1" applyFill="1" applyBorder="1" applyAlignment="1" applyProtection="1">
      <alignment horizontal="center" vertical="center"/>
      <protection locked="0"/>
    </xf>
    <xf numFmtId="0" fontId="40" fillId="5" borderId="9" xfId="0" applyFont="1" applyFill="1" applyBorder="1" applyAlignment="1" applyProtection="1">
      <alignment horizontal="left" vertical="center" wrapText="1" indent="1"/>
      <protection locked="0"/>
    </xf>
    <xf numFmtId="0" fontId="47" fillId="0" borderId="0" xfId="0" applyFont="1"/>
    <xf numFmtId="9" fontId="47" fillId="0" borderId="0" xfId="0" applyNumberFormat="1" applyFont="1"/>
    <xf numFmtId="0" fontId="0" fillId="4" borderId="16" xfId="0" applyFill="1" applyBorder="1"/>
    <xf numFmtId="0" fontId="0" fillId="4" borderId="17" xfId="0" applyFill="1" applyBorder="1"/>
    <xf numFmtId="1" fontId="47" fillId="0" borderId="0" xfId="0" applyNumberFormat="1" applyFont="1"/>
    <xf numFmtId="0" fontId="52" fillId="4" borderId="16" xfId="0" applyFont="1" applyFill="1" applyBorder="1" applyAlignment="1">
      <alignment horizontal="right" vertical="center"/>
    </xf>
    <xf numFmtId="0" fontId="52" fillId="0" borderId="16" xfId="0" applyFont="1" applyBorder="1" applyAlignment="1">
      <alignment horizontal="right" vertical="center"/>
    </xf>
    <xf numFmtId="0" fontId="52" fillId="0" borderId="18" xfId="0" applyFont="1" applyBorder="1" applyAlignment="1">
      <alignment horizontal="right" vertical="center"/>
    </xf>
    <xf numFmtId="0" fontId="17" fillId="0" borderId="0" xfId="0" applyFont="1" applyAlignment="1">
      <alignment horizontal="center" vertical="center"/>
    </xf>
    <xf numFmtId="0" fontId="5" fillId="0" borderId="0" xfId="0" applyFont="1" applyAlignment="1">
      <alignment horizontal="left" vertical="center" wrapText="1" indent="1"/>
    </xf>
    <xf numFmtId="0" fontId="18" fillId="4" borderId="2" xfId="0" applyFont="1" applyFill="1" applyBorder="1" applyAlignment="1">
      <alignment horizontal="left" vertical="center" indent="1"/>
    </xf>
    <xf numFmtId="0" fontId="13" fillId="4" borderId="3" xfId="0" applyFont="1" applyFill="1" applyBorder="1" applyAlignment="1">
      <alignment horizontal="left" vertical="top" wrapText="1" indent="1"/>
    </xf>
    <xf numFmtId="0" fontId="19" fillId="2" borderId="0" xfId="0" applyFont="1" applyFill="1" applyAlignment="1">
      <alignment horizontal="center" vertical="center" wrapText="1"/>
    </xf>
    <xf numFmtId="0" fontId="20" fillId="2" borderId="0" xfId="0" applyFont="1" applyFill="1" applyAlignment="1">
      <alignment horizontal="center" vertical="center" wrapText="1"/>
    </xf>
    <xf numFmtId="0" fontId="21" fillId="2" borderId="0" xfId="0" applyFont="1" applyFill="1" applyAlignment="1">
      <alignment horizontal="center" vertical="center" wrapText="1"/>
    </xf>
    <xf numFmtId="0" fontId="22" fillId="2" borderId="0" xfId="0" applyFont="1" applyFill="1" applyAlignment="1">
      <alignment horizontal="left" vertical="center"/>
    </xf>
    <xf numFmtId="0" fontId="23" fillId="2" borderId="0" xfId="0" applyFont="1" applyFill="1" applyAlignment="1">
      <alignment horizontal="left" vertical="center"/>
    </xf>
    <xf numFmtId="0" fontId="24" fillId="3" borderId="0" xfId="0" applyFont="1" applyFill="1" applyAlignment="1">
      <alignment horizontal="left" vertical="center" indent="1"/>
    </xf>
    <xf numFmtId="0" fontId="27" fillId="0" borderId="0" xfId="0" applyFont="1" applyAlignment="1">
      <alignment horizontal="left" vertical="center" wrapText="1"/>
    </xf>
    <xf numFmtId="0" fontId="27" fillId="0" borderId="0" xfId="0" applyFont="1" applyAlignment="1">
      <alignment horizontal="left" vertical="top" wrapText="1"/>
    </xf>
    <xf numFmtId="0" fontId="10" fillId="0" borderId="0" xfId="0" applyFont="1" applyAlignment="1">
      <alignment horizontal="left" vertical="center" indent="1"/>
    </xf>
    <xf numFmtId="0" fontId="24" fillId="3" borderId="2" xfId="0" applyFont="1" applyFill="1" applyBorder="1" applyAlignment="1">
      <alignment horizontal="left" vertical="center" indent="1"/>
    </xf>
    <xf numFmtId="0" fontId="28" fillId="0" borderId="11" xfId="0" applyFont="1" applyBorder="1" applyAlignment="1">
      <alignment horizontal="left" vertical="center" indent="1"/>
    </xf>
    <xf numFmtId="0" fontId="29" fillId="0" borderId="11" xfId="0" applyFont="1" applyBorder="1" applyAlignment="1">
      <alignment horizontal="left" vertical="center" indent="1"/>
    </xf>
    <xf numFmtId="0" fontId="29" fillId="0" borderId="3" xfId="0" applyFont="1" applyBorder="1" applyAlignment="1">
      <alignment horizontal="left" vertical="center" indent="1"/>
    </xf>
    <xf numFmtId="0" fontId="30" fillId="0" borderId="12" xfId="0" applyFont="1" applyBorder="1" applyAlignment="1">
      <alignment horizontal="left" vertical="top" wrapText="1" indent="1"/>
    </xf>
    <xf numFmtId="0" fontId="12" fillId="0" borderId="0" xfId="0" applyFont="1" applyAlignment="1">
      <alignment horizontal="left" vertical="center" indent="1"/>
    </xf>
    <xf numFmtId="0" fontId="32" fillId="2" borderId="0" xfId="0" applyFont="1" applyFill="1" applyAlignment="1">
      <alignment horizontal="left" vertical="center" indent="1"/>
    </xf>
    <xf numFmtId="0" fontId="33" fillId="2" borderId="0" xfId="0" applyFont="1" applyFill="1" applyAlignment="1">
      <alignment horizontal="left" vertical="center" indent="1"/>
    </xf>
    <xf numFmtId="0" fontId="34" fillId="2" borderId="0" xfId="0" applyFont="1" applyFill="1" applyAlignment="1">
      <alignment horizontal="right" vertical="center" indent="1"/>
    </xf>
    <xf numFmtId="0" fontId="35" fillId="2" borderId="0" xfId="0" applyFont="1" applyFill="1" applyAlignment="1">
      <alignment horizontal="left" vertical="center" indent="1"/>
    </xf>
    <xf numFmtId="0" fontId="27" fillId="0" borderId="12" xfId="0" applyFont="1" applyBorder="1" applyAlignment="1">
      <alignment horizontal="left" vertical="top" wrapText="1" indent="1"/>
    </xf>
    <xf numFmtId="0" fontId="10" fillId="0" borderId="0" xfId="0" applyFont="1" applyAlignment="1">
      <alignment horizontal="left" vertical="top" wrapText="1" indent="1"/>
    </xf>
    <xf numFmtId="0" fontId="38" fillId="2" borderId="0" xfId="0" applyFont="1" applyFill="1" applyAlignment="1">
      <alignment horizontal="left" vertical="center" indent="1"/>
    </xf>
    <xf numFmtId="0" fontId="8" fillId="3" borderId="0" xfId="0" applyFont="1" applyFill="1" applyAlignment="1">
      <alignment horizontal="left" vertical="center" indent="1"/>
    </xf>
    <xf numFmtId="0" fontId="27" fillId="0" borderId="12" xfId="0" applyFont="1" applyBorder="1" applyAlignment="1">
      <alignment horizontal="left" vertical="center" wrapText="1" indent="1"/>
    </xf>
    <xf numFmtId="0" fontId="10" fillId="0" borderId="0" xfId="0" applyFont="1" applyAlignment="1">
      <alignment horizontal="left" vertical="center" wrapText="1" indent="1"/>
    </xf>
    <xf numFmtId="0" fontId="39" fillId="5" borderId="9" xfId="0" applyFont="1" applyFill="1" applyBorder="1" applyAlignment="1" applyProtection="1">
      <alignment horizontal="left" vertical="center" wrapText="1" indent="1"/>
      <protection locked="0"/>
    </xf>
    <xf numFmtId="0" fontId="39" fillId="5" borderId="9" xfId="0" applyFont="1" applyFill="1" applyBorder="1" applyAlignment="1" applyProtection="1">
      <alignment horizontal="left" vertical="top" wrapText="1" indent="1"/>
      <protection locked="0"/>
    </xf>
    <xf numFmtId="0" fontId="7" fillId="4" borderId="13" xfId="0" applyFont="1" applyFill="1" applyBorder="1" applyAlignment="1">
      <alignment horizontal="right" vertical="center"/>
    </xf>
    <xf numFmtId="0" fontId="5" fillId="0" borderId="13" xfId="0" applyFont="1" applyBorder="1" applyAlignment="1">
      <alignment horizontal="right" vertical="center"/>
    </xf>
    <xf numFmtId="0" fontId="32" fillId="2" borderId="0" xfId="0" applyFont="1" applyFill="1" applyAlignment="1">
      <alignment horizontal="left"/>
    </xf>
    <xf numFmtId="0" fontId="20" fillId="2" borderId="0" xfId="0" applyFont="1" applyFill="1" applyAlignment="1">
      <alignment horizontal="right" vertical="center"/>
    </xf>
    <xf numFmtId="0" fontId="45" fillId="2" borderId="0" xfId="0" applyFont="1" applyFill="1" applyAlignment="1">
      <alignment horizontal="left" vertical="center"/>
    </xf>
    <xf numFmtId="0" fontId="0" fillId="2" borderId="2" xfId="0" applyFill="1" applyBorder="1"/>
    <xf numFmtId="0" fontId="46" fillId="4" borderId="11" xfId="0" applyFont="1" applyFill="1" applyBorder="1" applyAlignment="1">
      <alignment horizontal="left" vertical="center" indent="1"/>
    </xf>
    <xf numFmtId="0" fontId="48" fillId="4" borderId="11" xfId="0" applyFont="1" applyFill="1" applyBorder="1" applyAlignment="1">
      <alignment horizontal="left" vertical="center" indent="1"/>
    </xf>
    <xf numFmtId="9" fontId="48" fillId="4" borderId="11" xfId="0" applyNumberFormat="1" applyFont="1" applyFill="1" applyBorder="1" applyAlignment="1">
      <alignment horizontal="left" vertical="center" indent="1"/>
    </xf>
    <xf numFmtId="0" fontId="9" fillId="4" borderId="3" xfId="0" applyFont="1" applyFill="1" applyBorder="1" applyAlignment="1">
      <alignment horizontal="left" vertical="center" indent="1"/>
    </xf>
    <xf numFmtId="0" fontId="0" fillId="3" borderId="2" xfId="0" applyFill="1" applyBorder="1"/>
    <xf numFmtId="0" fontId="49" fillId="4" borderId="11" xfId="0" applyFont="1" applyFill="1" applyBorder="1" applyAlignment="1">
      <alignment horizontal="left" vertical="center" wrapText="1" indent="1"/>
    </xf>
    <xf numFmtId="1" fontId="50" fillId="4" borderId="11" xfId="0" applyNumberFormat="1" applyFont="1" applyFill="1" applyBorder="1" applyAlignment="1">
      <alignment horizontal="left" vertical="center" indent="1"/>
    </xf>
    <xf numFmtId="0" fontId="51" fillId="4" borderId="3" xfId="0" applyFont="1" applyFill="1" applyBorder="1" applyAlignment="1">
      <alignment horizontal="left" vertical="center" indent="1"/>
    </xf>
    <xf numFmtId="165" fontId="50" fillId="4" borderId="11" xfId="0" applyNumberFormat="1" applyFont="1" applyFill="1" applyBorder="1" applyAlignment="1">
      <alignment horizontal="left" vertical="center" indent="1"/>
    </xf>
    <xf numFmtId="0" fontId="25" fillId="6" borderId="12" xfId="0" applyFont="1" applyFill="1" applyBorder="1" applyAlignment="1">
      <alignment horizontal="left" vertical="center" indent="1"/>
    </xf>
    <xf numFmtId="0" fontId="28" fillId="0" borderId="1" xfId="0" applyFont="1" applyBorder="1" applyAlignment="1">
      <alignment horizontal="left" vertical="center"/>
    </xf>
    <xf numFmtId="0" fontId="24" fillId="2" borderId="2" xfId="0" applyFont="1" applyFill="1" applyBorder="1" applyAlignment="1">
      <alignment horizontal="left" vertical="center" indent="1"/>
    </xf>
    <xf numFmtId="0" fontId="53" fillId="4" borderId="17" xfId="0" applyFont="1" applyFill="1" applyBorder="1" applyAlignment="1">
      <alignment horizontal="left" vertical="center"/>
    </xf>
    <xf numFmtId="0" fontId="53" fillId="0" borderId="17" xfId="0" applyFont="1" applyBorder="1" applyAlignment="1">
      <alignment horizontal="left" vertical="center"/>
    </xf>
    <xf numFmtId="0" fontId="53" fillId="0" borderId="19" xfId="0" applyFont="1" applyBorder="1" applyAlignment="1">
      <alignment horizontal="left" vertical="center"/>
    </xf>
    <xf numFmtId="0" fontId="17" fillId="4" borderId="12" xfId="0" applyFont="1" applyFill="1" applyBorder="1" applyAlignment="1">
      <alignment horizontal="left" vertical="center" indent="1"/>
    </xf>
    <xf numFmtId="0" fontId="12" fillId="0" borderId="0" xfId="0" applyFont="1" applyAlignment="1">
      <alignment horizontal="left" vertical="center" wrapText="1"/>
    </xf>
    <xf numFmtId="0" fontId="25" fillId="0" borderId="0" xfId="0" applyFont="1" applyAlignment="1">
      <alignment horizontal="center" vertical="center"/>
    </xf>
  </cellXfs>
  <cellStyles count="1">
    <cellStyle name="Normal" xfId="0" builtinId="0"/>
  </cellStyles>
  <dxfs count="14">
    <dxf>
      <fill>
        <patternFill>
          <bgColor rgb="FFB9C2C9"/>
        </patternFill>
      </fill>
    </dxf>
    <dxf>
      <fill>
        <patternFill>
          <bgColor rgb="FF8A5A3C"/>
        </patternFill>
      </fill>
    </dxf>
    <dxf>
      <fill>
        <patternFill>
          <bgColor rgb="FF083152"/>
        </patternFill>
      </fill>
    </dxf>
    <dxf>
      <fill>
        <patternFill>
          <bgColor rgb="FF23727C"/>
        </patternFill>
      </fill>
    </dxf>
    <dxf>
      <font>
        <b/>
        <sz val="9"/>
        <color rgb="FF083152"/>
        <name val="Arial"/>
        <charset val="1"/>
      </font>
    </dxf>
    <dxf>
      <font>
        <b/>
        <sz val="9"/>
        <color rgb="FF083152"/>
        <name val="Arial"/>
        <charset val="1"/>
      </font>
    </dxf>
    <dxf>
      <font>
        <sz val="9"/>
        <color rgb="FF5E6C77"/>
        <name val="Arial"/>
        <charset val="1"/>
      </font>
    </dxf>
    <dxf>
      <font>
        <sz val="9"/>
        <color rgb="FF0B4A63"/>
        <name val="Arial"/>
        <charset val="1"/>
      </font>
    </dxf>
    <dxf>
      <font>
        <b/>
        <sz val="9"/>
        <color rgb="FF8A5A3C"/>
        <name val="Arial"/>
        <charset val="1"/>
      </font>
    </dxf>
    <dxf>
      <font>
        <sz val="9"/>
        <color rgb="FF083152"/>
        <name val="Arial"/>
        <charset val="1"/>
      </font>
    </dxf>
    <dxf>
      <font>
        <b/>
        <sz val="9"/>
        <color rgb="FF083152"/>
        <name val="Arial"/>
        <charset val="1"/>
      </font>
    </dxf>
    <dxf>
      <font>
        <b/>
        <sz val="9"/>
        <color rgb="FF8A5A3C"/>
        <name val="Arial"/>
        <charset val="1"/>
      </font>
    </dxf>
    <dxf>
      <font>
        <sz val="9"/>
        <color rgb="FF5E6C77"/>
        <name val="Arial"/>
        <charset val="1"/>
      </font>
    </dxf>
    <dxf>
      <font>
        <sz val="9"/>
        <color rgb="FF23727C"/>
        <name val="Arial"/>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3727C"/>
      <rgbColor rgb="FFB9C2C9"/>
      <rgbColor rgb="FF878787"/>
      <rgbColor rgb="FF8FB8C9"/>
      <rgbColor rgb="FF8A5A3C"/>
      <rgbColor rgb="FFF4F6F8"/>
      <rgbColor rgb="FFEDF4F5"/>
      <rgbColor rgb="FF660066"/>
      <rgbColor rgb="FFFF8080"/>
      <rgbColor rgb="FF0066CC"/>
      <rgbColor rgb="FFC7D9E2"/>
      <rgbColor rgb="FF000080"/>
      <rgbColor rgb="FFFF00FF"/>
      <rgbColor rgb="FFFFFF00"/>
      <rgbColor rgb="FF00FFFF"/>
      <rgbColor rgb="FF800080"/>
      <rgbColor rgb="FF800000"/>
      <rgbColor rgb="FF008080"/>
      <rgbColor rgb="FF0000FF"/>
      <rgbColor rgb="FF00CCFF"/>
      <rgbColor rgb="FFCCFFFF"/>
      <rgbColor rgb="FFD6DDE2"/>
      <rgbColor rgb="FFFFFF99"/>
      <rgbColor rgb="FF9FBECF"/>
      <rgbColor rgb="FFFF99CC"/>
      <rgbColor rgb="FF9FC0C6"/>
      <rgbColor rgb="FFD9D9D9"/>
      <rgbColor rgb="FF3366FF"/>
      <rgbColor rgb="FF6FB3BC"/>
      <rgbColor rgb="FF99CC00"/>
      <rgbColor rgb="FFFFCC00"/>
      <rgbColor rgb="FFFF9900"/>
      <rgbColor rgb="FFFF6600"/>
      <rgbColor rgb="FF5E6C77"/>
      <rgbColor rgb="FF7FA3B5"/>
      <rgbColor rgb="FF083152"/>
      <rgbColor rgb="FF6B7A85"/>
      <rgbColor rgb="FF003300"/>
      <rgbColor rgb="FF333300"/>
      <rgbColor rgb="FF993300"/>
      <rgbColor rgb="FF993366"/>
      <rgbColor rgb="FF0B4A63"/>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bar"/>
        <c:grouping val="clustered"/>
        <c:varyColors val="0"/>
        <c:ser>
          <c:idx val="0"/>
          <c:order val="0"/>
          <c:tx>
            <c:v>% of applicable tasks complete</c:v>
          </c:tx>
          <c:spPr>
            <a:solidFill>
              <a:srgbClr val="23727C"/>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'EXECUTIVE DASHBOARD'!$Y$6:$Y$14</c:f>
              <c:strCache>
                <c:ptCount val="9"/>
                <c:pt idx="0">
                  <c:v>Cash &amp; Banking</c:v>
                </c:pt>
                <c:pt idx="1">
                  <c:v>Revenue</c:v>
                </c:pt>
                <c:pt idx="2">
                  <c:v>Accounts Receivable</c:v>
                </c:pt>
                <c:pt idx="3">
                  <c:v>Expenses &amp; Accounts Payable</c:v>
                </c:pt>
                <c:pt idx="4">
                  <c:v>Payroll</c:v>
                </c:pt>
                <c:pt idx="5">
                  <c:v>GST/HST &amp; Tax</c:v>
                </c:pt>
                <c:pt idx="6">
                  <c:v>Fixed Assets &amp; Financing</c:v>
                </c:pt>
                <c:pt idx="7">
                  <c:v>Balance Sheet</c:v>
                </c:pt>
                <c:pt idx="8">
                  <c:v>Financial Statements</c:v>
                </c:pt>
              </c:strCache>
            </c:strRef>
          </c:cat>
          <c:val>
            <c:numRef>
              <c:f>'EXECUTIVE DASHBOARD'!$Z$6:$Z$14</c:f>
              <c:numCache>
                <c:formatCode>0%</c:formatCode>
                <c:ptCount val="9"/>
                <c:pt idx="0">
                  <c:v>0.83333333333333337</c:v>
                </c:pt>
                <c:pt idx="1">
                  <c:v>1</c:v>
                </c:pt>
                <c:pt idx="2">
                  <c:v>0.83333333333333337</c:v>
                </c:pt>
                <c:pt idx="3">
                  <c:v>0.8571428571428571</c:v>
                </c:pt>
                <c:pt idx="4">
                  <c:v>1</c:v>
                </c:pt>
                <c:pt idx="5">
                  <c:v>1</c:v>
                </c:pt>
                <c:pt idx="6">
                  <c:v>1</c:v>
                </c:pt>
                <c:pt idx="7">
                  <c:v>0.875</c:v>
                </c:pt>
                <c:pt idx="8">
                  <c:v>0.75</c:v>
                </c:pt>
              </c:numCache>
            </c:numRef>
          </c:val>
          <c:extLst>
            <c:ext xmlns:c16="http://schemas.microsoft.com/office/drawing/2014/chart" uri="{C3380CC4-5D6E-409C-BE32-E72D297353CC}">
              <c16:uniqueId val="{00000000-3019-41DE-BB08-1AD78365E983}"/>
            </c:ext>
          </c:extLst>
        </c:ser>
        <c:dLbls>
          <c:showLegendKey val="0"/>
          <c:showVal val="0"/>
          <c:showCatName val="0"/>
          <c:showSerName val="0"/>
          <c:showPercent val="0"/>
          <c:showBubbleSize val="0"/>
        </c:dLbls>
        <c:gapWidth val="45"/>
        <c:axId val="10903323"/>
        <c:axId val="95385390"/>
      </c:barChart>
      <c:catAx>
        <c:axId val="10903323"/>
        <c:scaling>
          <c:orientation val="maxMin"/>
        </c:scaling>
        <c:delete val="0"/>
        <c:axPos val="l"/>
        <c:numFmt formatCode="General" sourceLinked="0"/>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95385390"/>
        <c:crosses val="autoZero"/>
        <c:auto val="1"/>
        <c:lblAlgn val="ctr"/>
        <c:lblOffset val="100"/>
        <c:noMultiLvlLbl val="0"/>
      </c:catAx>
      <c:valAx>
        <c:axId val="95385390"/>
        <c:scaling>
          <c:orientation val="minMax"/>
          <c:max val="1"/>
          <c:min val="0"/>
        </c:scaling>
        <c:delete val="0"/>
        <c:axPos val="b"/>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0903323"/>
        <c:crosses val="max"/>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Calendar days to close</c:v>
          </c:tx>
          <c:spPr>
            <a:solidFill>
              <a:srgbClr val="083152"/>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'EXECUTIVE DASHBOARD'!$Y$17:$Y$28</c:f>
              <c:strCache>
                <c:ptCount val="12"/>
                <c:pt idx="0">
                  <c:v>Jul 2025</c:v>
                </c:pt>
                <c:pt idx="1">
                  <c:v>Aug 2025</c:v>
                </c:pt>
                <c:pt idx="2">
                  <c:v>Sep 2025</c:v>
                </c:pt>
                <c:pt idx="3">
                  <c:v>Oct 2025</c:v>
                </c:pt>
                <c:pt idx="4">
                  <c:v>Nov 2025</c:v>
                </c:pt>
                <c:pt idx="5">
                  <c:v>Dec 2025</c:v>
                </c:pt>
                <c:pt idx="6">
                  <c:v>Jan 2026</c:v>
                </c:pt>
                <c:pt idx="7">
                  <c:v>Feb 2026</c:v>
                </c:pt>
                <c:pt idx="8">
                  <c:v>Mar 2026</c:v>
                </c:pt>
                <c:pt idx="9">
                  <c:v>Apr 2026</c:v>
                </c:pt>
                <c:pt idx="10">
                  <c:v>May 2026</c:v>
                </c:pt>
                <c:pt idx="11">
                  <c:v>Jun 2026</c:v>
                </c:pt>
              </c:strCache>
            </c:strRef>
          </c:cat>
          <c:val>
            <c:numRef>
              <c:f>'EXECUTIVE DASHBOARD'!$Z$17:$Z$28</c:f>
              <c:numCache>
                <c:formatCode>0</c:formatCode>
                <c:ptCount val="12"/>
                <c:pt idx="0">
                  <c:v>11</c:v>
                </c:pt>
                <c:pt idx="1">
                  <c:v>9</c:v>
                </c:pt>
                <c:pt idx="2">
                  <c:v>8</c:v>
                </c:pt>
                <c:pt idx="3">
                  <c:v>10</c:v>
                </c:pt>
                <c:pt idx="4">
                  <c:v>7</c:v>
                </c:pt>
                <c:pt idx="5">
                  <c:v>9</c:v>
                </c:pt>
                <c:pt idx="6">
                  <c:v>8</c:v>
                </c:pt>
                <c:pt idx="7">
                  <c:v>12</c:v>
                </c:pt>
                <c:pt idx="8">
                  <c:v>8</c:v>
                </c:pt>
                <c:pt idx="9">
                  <c:v>7</c:v>
                </c:pt>
                <c:pt idx="10">
                  <c:v>9</c:v>
                </c:pt>
                <c:pt idx="11">
                  <c:v>8</c:v>
                </c:pt>
              </c:numCache>
            </c:numRef>
          </c:val>
          <c:extLst>
            <c:ext xmlns:c16="http://schemas.microsoft.com/office/drawing/2014/chart" uri="{C3380CC4-5D6E-409C-BE32-E72D297353CC}">
              <c16:uniqueId val="{00000000-E9BC-40FB-9F4F-BA50C6EE4CC4}"/>
            </c:ext>
          </c:extLst>
        </c:ser>
        <c:ser>
          <c:idx val="1"/>
          <c:order val="1"/>
          <c:tx>
            <c:v>Your target (CLOSE SETUP)</c:v>
          </c:tx>
          <c:spPr>
            <a:solidFill>
              <a:srgbClr val="9FC0C6"/>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'EXECUTIVE DASHBOARD'!$Y$17:$Y$28</c:f>
              <c:strCache>
                <c:ptCount val="12"/>
                <c:pt idx="0">
                  <c:v>Jul 2025</c:v>
                </c:pt>
                <c:pt idx="1">
                  <c:v>Aug 2025</c:v>
                </c:pt>
                <c:pt idx="2">
                  <c:v>Sep 2025</c:v>
                </c:pt>
                <c:pt idx="3">
                  <c:v>Oct 2025</c:v>
                </c:pt>
                <c:pt idx="4">
                  <c:v>Nov 2025</c:v>
                </c:pt>
                <c:pt idx="5">
                  <c:v>Dec 2025</c:v>
                </c:pt>
                <c:pt idx="6">
                  <c:v>Jan 2026</c:v>
                </c:pt>
                <c:pt idx="7">
                  <c:v>Feb 2026</c:v>
                </c:pt>
                <c:pt idx="8">
                  <c:v>Mar 2026</c:v>
                </c:pt>
                <c:pt idx="9">
                  <c:v>Apr 2026</c:v>
                </c:pt>
                <c:pt idx="10">
                  <c:v>May 2026</c:v>
                </c:pt>
                <c:pt idx="11">
                  <c:v>Jun 2026</c:v>
                </c:pt>
              </c:strCache>
            </c:strRef>
          </c:cat>
          <c:val>
            <c:numRef>
              <c:f>'EXECUTIVE DASHBOARD'!$AA$17:$AA$28</c:f>
              <c:numCache>
                <c:formatCode>0</c:formatCode>
                <c:ptCount val="12"/>
                <c:pt idx="0">
                  <c:v>8</c:v>
                </c:pt>
                <c:pt idx="1">
                  <c:v>8</c:v>
                </c:pt>
                <c:pt idx="2">
                  <c:v>8</c:v>
                </c:pt>
                <c:pt idx="3">
                  <c:v>8</c:v>
                </c:pt>
                <c:pt idx="4">
                  <c:v>8</c:v>
                </c:pt>
                <c:pt idx="5">
                  <c:v>8</c:v>
                </c:pt>
                <c:pt idx="6">
                  <c:v>8</c:v>
                </c:pt>
                <c:pt idx="7">
                  <c:v>8</c:v>
                </c:pt>
                <c:pt idx="8">
                  <c:v>8</c:v>
                </c:pt>
                <c:pt idx="9">
                  <c:v>8</c:v>
                </c:pt>
                <c:pt idx="10">
                  <c:v>8</c:v>
                </c:pt>
                <c:pt idx="11">
                  <c:v>8</c:v>
                </c:pt>
              </c:numCache>
            </c:numRef>
          </c:val>
          <c:extLst>
            <c:ext xmlns:c16="http://schemas.microsoft.com/office/drawing/2014/chart" uri="{C3380CC4-5D6E-409C-BE32-E72D297353CC}">
              <c16:uniqueId val="{00000001-E9BC-40FB-9F4F-BA50C6EE4CC4}"/>
            </c:ext>
          </c:extLst>
        </c:ser>
        <c:dLbls>
          <c:showLegendKey val="0"/>
          <c:showVal val="0"/>
          <c:showCatName val="0"/>
          <c:showSerName val="0"/>
          <c:showPercent val="0"/>
          <c:showBubbleSize val="0"/>
        </c:dLbls>
        <c:gapWidth val="50"/>
        <c:overlap val="-12"/>
        <c:axId val="13780634"/>
        <c:axId val="47980291"/>
      </c:barChart>
      <c:catAx>
        <c:axId val="13780634"/>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47980291"/>
        <c:crosses val="autoZero"/>
        <c:auto val="1"/>
        <c:lblAlgn val="ctr"/>
        <c:lblOffset val="100"/>
        <c:noMultiLvlLbl val="0"/>
      </c:catAx>
      <c:valAx>
        <c:axId val="47980291"/>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3780634"/>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10</xdr:col>
      <xdr:colOff>140465</xdr:colOff>
      <xdr:row>39</xdr:row>
      <xdr:rowOff>44705</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23</xdr:row>
      <xdr:rowOff>0</xdr:rowOff>
    </xdr:from>
    <xdr:to>
      <xdr:col>21</xdr:col>
      <xdr:colOff>83095</xdr:colOff>
      <xdr:row>39</xdr:row>
      <xdr:rowOff>44705</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showGridLines="0" tabSelected="1" zoomScaleNormal="100" workbookViewId="0">
      <pane ySplit="6" topLeftCell="A7" activePane="bottomLeft" state="frozen"/>
      <selection pane="bottomLeft" activeCell="L22" sqref="L22"/>
    </sheetView>
  </sheetViews>
  <sheetFormatPr defaultColWidth="8.6328125" defaultRowHeight="14.5" x14ac:dyDescent="0.35"/>
  <cols>
    <col min="1" max="1" width="3" customWidth="1"/>
    <col min="2" max="2" width="4" customWidth="1"/>
    <col min="3" max="7" width="14" customWidth="1"/>
    <col min="8" max="8" width="18" customWidth="1"/>
    <col min="9" max="9" width="3" customWidth="1"/>
  </cols>
  <sheetData>
    <row r="1" spans="1:9" ht="9.75" customHeight="1" x14ac:dyDescent="0.35">
      <c r="A1" s="15"/>
      <c r="B1" s="15"/>
      <c r="C1" s="15"/>
      <c r="D1" s="15"/>
      <c r="E1" s="15"/>
      <c r="F1" s="15"/>
      <c r="G1" s="15"/>
      <c r="H1" s="15"/>
      <c r="I1" s="15"/>
    </row>
    <row r="2" spans="1:9" ht="15.75" customHeight="1" x14ac:dyDescent="0.35">
      <c r="A2" s="15"/>
      <c r="B2" s="14" t="s">
        <v>0</v>
      </c>
      <c r="C2" s="14"/>
      <c r="D2" s="14"/>
      <c r="E2" s="14"/>
      <c r="F2" s="14"/>
      <c r="G2" s="14"/>
      <c r="H2" s="14"/>
      <c r="I2" s="15"/>
    </row>
    <row r="3" spans="1:9" ht="33.75" customHeight="1" x14ac:dyDescent="0.35">
      <c r="A3" s="15"/>
      <c r="B3" s="13" t="s">
        <v>1</v>
      </c>
      <c r="C3" s="13"/>
      <c r="D3" s="13"/>
      <c r="E3" s="13"/>
      <c r="F3" s="13"/>
      <c r="G3" s="13"/>
      <c r="H3" s="13"/>
      <c r="I3" s="15"/>
    </row>
    <row r="4" spans="1:9" ht="31.5" customHeight="1" x14ac:dyDescent="0.35">
      <c r="A4" s="15"/>
      <c r="B4" s="12" t="s">
        <v>2</v>
      </c>
      <c r="C4" s="12"/>
      <c r="D4" s="12"/>
      <c r="E4" s="12"/>
      <c r="F4" s="12"/>
      <c r="G4" s="12"/>
      <c r="H4" s="12"/>
      <c r="I4" s="15"/>
    </row>
    <row r="5" spans="1:9" ht="6" customHeight="1" x14ac:dyDescent="0.35">
      <c r="A5" s="15"/>
      <c r="B5" s="15"/>
      <c r="C5" s="15"/>
      <c r="D5" s="15"/>
      <c r="E5" s="15"/>
      <c r="F5" s="15"/>
      <c r="G5" s="15"/>
      <c r="H5" s="15"/>
      <c r="I5" s="15"/>
    </row>
    <row r="6" spans="1:9" ht="6" customHeight="1" x14ac:dyDescent="0.35">
      <c r="A6" s="15"/>
      <c r="B6" s="15"/>
      <c r="C6" s="15"/>
      <c r="D6" s="15"/>
      <c r="E6" s="15"/>
      <c r="F6" s="15"/>
      <c r="G6" s="15"/>
      <c r="H6" s="15"/>
      <c r="I6" s="15"/>
    </row>
    <row r="8" spans="1:9" ht="21.75" customHeight="1" x14ac:dyDescent="0.35">
      <c r="B8" s="11" t="s">
        <v>3</v>
      </c>
      <c r="C8" s="11"/>
      <c r="D8" s="11"/>
      <c r="E8" s="11"/>
      <c r="F8" s="11"/>
      <c r="G8" s="11"/>
      <c r="H8" s="11"/>
    </row>
    <row r="9" spans="1:9" ht="6" customHeight="1" x14ac:dyDescent="0.35"/>
    <row r="10" spans="1:9" ht="30" customHeight="1" x14ac:dyDescent="0.35">
      <c r="B10" s="10" t="s">
        <v>4</v>
      </c>
      <c r="C10" s="10"/>
      <c r="D10" s="10"/>
      <c r="E10" s="10"/>
      <c r="F10" s="10"/>
      <c r="G10" s="10"/>
      <c r="H10" s="10"/>
    </row>
    <row r="11" spans="1:9" ht="15.75" customHeight="1" x14ac:dyDescent="0.35">
      <c r="B11" s="10" t="s">
        <v>5</v>
      </c>
      <c r="C11" s="10"/>
      <c r="D11" s="10"/>
      <c r="E11" s="10"/>
      <c r="F11" s="10"/>
      <c r="G11" s="10"/>
      <c r="H11" s="10"/>
    </row>
    <row r="12" spans="1:9" ht="15.75" customHeight="1" x14ac:dyDescent="0.35">
      <c r="B12" s="16" t="s">
        <v>6</v>
      </c>
      <c r="C12" s="9" t="s">
        <v>7</v>
      </c>
      <c r="D12" s="9"/>
      <c r="E12" s="9"/>
      <c r="F12" s="9"/>
      <c r="G12" s="9"/>
      <c r="H12" s="9"/>
    </row>
    <row r="13" spans="1:9" ht="15.75" customHeight="1" x14ac:dyDescent="0.35">
      <c r="B13" s="16" t="s">
        <v>6</v>
      </c>
      <c r="C13" s="9" t="s">
        <v>8</v>
      </c>
      <c r="D13" s="9"/>
      <c r="E13" s="9"/>
      <c r="F13" s="9"/>
      <c r="G13" s="9"/>
      <c r="H13" s="9"/>
    </row>
    <row r="14" spans="1:9" ht="15.75" customHeight="1" x14ac:dyDescent="0.35">
      <c r="B14" s="16" t="s">
        <v>6</v>
      </c>
      <c r="C14" s="9" t="s">
        <v>9</v>
      </c>
      <c r="D14" s="9"/>
      <c r="E14" s="9"/>
      <c r="F14" s="9"/>
      <c r="G14" s="9"/>
      <c r="H14" s="9"/>
    </row>
    <row r="15" spans="1:9" ht="15.75" customHeight="1" x14ac:dyDescent="0.35">
      <c r="B15" s="16" t="s">
        <v>6</v>
      </c>
      <c r="C15" s="9" t="s">
        <v>10</v>
      </c>
      <c r="D15" s="9"/>
      <c r="E15" s="9"/>
      <c r="F15" s="9"/>
      <c r="G15" s="9"/>
      <c r="H15" s="9"/>
    </row>
    <row r="16" spans="1:9" ht="15.75" customHeight="1" x14ac:dyDescent="0.35">
      <c r="B16" s="16" t="s">
        <v>6</v>
      </c>
      <c r="C16" s="9" t="s">
        <v>11</v>
      </c>
      <c r="D16" s="9"/>
      <c r="E16" s="9"/>
      <c r="F16" s="9"/>
      <c r="G16" s="9"/>
      <c r="H16" s="9"/>
    </row>
    <row r="17" spans="2:8" ht="15.75" customHeight="1" x14ac:dyDescent="0.35">
      <c r="B17" s="16" t="s">
        <v>6</v>
      </c>
      <c r="C17" s="9" t="s">
        <v>12</v>
      </c>
      <c r="D17" s="9"/>
      <c r="E17" s="9"/>
      <c r="F17" s="9"/>
      <c r="G17" s="9"/>
      <c r="H17" s="9"/>
    </row>
    <row r="18" spans="2:8" ht="15.75" customHeight="1" x14ac:dyDescent="0.35">
      <c r="B18" s="16" t="s">
        <v>6</v>
      </c>
      <c r="C18" s="9" t="s">
        <v>13</v>
      </c>
      <c r="D18" s="9"/>
      <c r="E18" s="9"/>
      <c r="F18" s="9"/>
      <c r="G18" s="9"/>
      <c r="H18" s="9"/>
    </row>
    <row r="20" spans="2:8" ht="30" customHeight="1" x14ac:dyDescent="0.35">
      <c r="B20" s="8" t="s">
        <v>14</v>
      </c>
      <c r="C20" s="8"/>
      <c r="D20" s="8"/>
      <c r="E20" s="8"/>
      <c r="F20" s="8"/>
      <c r="G20" s="8"/>
      <c r="H20" s="8"/>
    </row>
    <row r="22" spans="2:8" ht="21.75" customHeight="1" x14ac:dyDescent="0.35">
      <c r="B22" s="11" t="s">
        <v>15</v>
      </c>
      <c r="C22" s="11"/>
      <c r="D22" s="11"/>
      <c r="E22" s="11"/>
      <c r="F22" s="11"/>
      <c r="G22" s="11"/>
      <c r="H22" s="11"/>
    </row>
    <row r="23" spans="2:8" ht="7.5" customHeight="1" x14ac:dyDescent="0.35"/>
    <row r="24" spans="2:8" ht="21.75" customHeight="1" x14ac:dyDescent="0.35">
      <c r="C24" s="17" t="s">
        <v>16</v>
      </c>
      <c r="D24" s="18" t="s">
        <v>17</v>
      </c>
      <c r="E24" s="17" t="s">
        <v>18</v>
      </c>
      <c r="F24" s="18" t="s">
        <v>19</v>
      </c>
      <c r="G24" s="17" t="s">
        <v>20</v>
      </c>
    </row>
    <row r="25" spans="2:8" ht="45.75" customHeight="1" x14ac:dyDescent="0.35">
      <c r="C25" s="19" t="s">
        <v>21</v>
      </c>
      <c r="D25" s="19" t="s">
        <v>22</v>
      </c>
      <c r="E25" s="19" t="s">
        <v>23</v>
      </c>
      <c r="F25" s="19" t="s">
        <v>24</v>
      </c>
      <c r="G25" s="19" t="s">
        <v>25</v>
      </c>
    </row>
    <row r="26" spans="2:8" ht="5.5" customHeight="1" x14ac:dyDescent="0.35"/>
    <row r="27" spans="2:8" ht="23.5" customHeight="1" x14ac:dyDescent="0.35">
      <c r="B27" s="7" t="s">
        <v>26</v>
      </c>
      <c r="C27" s="7"/>
      <c r="D27" s="7"/>
      <c r="E27" s="7"/>
      <c r="F27" s="7"/>
      <c r="G27" s="7"/>
      <c r="H27" s="7"/>
    </row>
    <row r="28" spans="2:8" ht="5.5" customHeight="1" x14ac:dyDescent="0.35"/>
    <row r="29" spans="2:8" ht="21.75" customHeight="1" x14ac:dyDescent="0.35">
      <c r="B29" s="11" t="s">
        <v>27</v>
      </c>
      <c r="C29" s="11"/>
      <c r="D29" s="11"/>
      <c r="E29" s="11"/>
      <c r="F29" s="11"/>
      <c r="G29" s="11"/>
      <c r="H29" s="11"/>
    </row>
    <row r="30" spans="2:8" ht="6" customHeight="1" x14ac:dyDescent="0.35"/>
    <row r="31" spans="2:8" ht="15.75" customHeight="1" x14ac:dyDescent="0.35">
      <c r="B31" s="20" t="s">
        <v>28</v>
      </c>
      <c r="C31" s="6" t="s">
        <v>29</v>
      </c>
      <c r="D31" s="6"/>
      <c r="E31" s="6"/>
      <c r="F31" s="6"/>
      <c r="G31" s="6"/>
      <c r="H31" s="21" t="s">
        <v>30</v>
      </c>
    </row>
    <row r="32" spans="2:8" ht="15" customHeight="1" x14ac:dyDescent="0.35">
      <c r="C32" s="5" t="s">
        <v>31</v>
      </c>
      <c r="D32" s="5"/>
      <c r="E32" s="5"/>
      <c r="F32" s="5"/>
      <c r="G32" s="5"/>
      <c r="H32" s="5"/>
    </row>
    <row r="33" spans="2:8" ht="15.75" customHeight="1" x14ac:dyDescent="0.35">
      <c r="B33" s="20" t="s">
        <v>32</v>
      </c>
      <c r="C33" s="6" t="s">
        <v>33</v>
      </c>
      <c r="D33" s="6"/>
      <c r="E33" s="6"/>
      <c r="F33" s="6"/>
      <c r="G33" s="6"/>
      <c r="H33" s="21" t="s">
        <v>34</v>
      </c>
    </row>
    <row r="34" spans="2:8" ht="15" customHeight="1" x14ac:dyDescent="0.35">
      <c r="C34" s="5" t="s">
        <v>35</v>
      </c>
      <c r="D34" s="5"/>
      <c r="E34" s="5"/>
      <c r="F34" s="5"/>
      <c r="G34" s="5"/>
      <c r="H34" s="5"/>
    </row>
    <row r="35" spans="2:8" ht="15.75" customHeight="1" x14ac:dyDescent="0.35">
      <c r="B35" s="20" t="s">
        <v>36</v>
      </c>
      <c r="C35" s="6" t="s">
        <v>37</v>
      </c>
      <c r="D35" s="6"/>
      <c r="E35" s="6"/>
      <c r="F35" s="6"/>
      <c r="G35" s="6"/>
      <c r="H35" s="21" t="s">
        <v>38</v>
      </c>
    </row>
    <row r="36" spans="2:8" ht="15" customHeight="1" x14ac:dyDescent="0.35">
      <c r="C36" s="5" t="s">
        <v>39</v>
      </c>
      <c r="D36" s="5"/>
      <c r="E36" s="5"/>
      <c r="F36" s="5"/>
      <c r="G36" s="5"/>
      <c r="H36" s="5"/>
    </row>
    <row r="37" spans="2:8" ht="15.75" customHeight="1" x14ac:dyDescent="0.35">
      <c r="B37" s="20" t="s">
        <v>40</v>
      </c>
      <c r="C37" s="6" t="s">
        <v>41</v>
      </c>
      <c r="D37" s="6"/>
      <c r="E37" s="6"/>
      <c r="F37" s="6"/>
      <c r="G37" s="6"/>
      <c r="H37" s="21" t="s">
        <v>42</v>
      </c>
    </row>
    <row r="38" spans="2:8" ht="15" customHeight="1" x14ac:dyDescent="0.35">
      <c r="C38" s="5" t="s">
        <v>43</v>
      </c>
      <c r="D38" s="5"/>
      <c r="E38" s="5"/>
      <c r="F38" s="5"/>
      <c r="G38" s="5"/>
      <c r="H38" s="5"/>
    </row>
    <row r="40" spans="2:8" ht="15.75" customHeight="1" x14ac:dyDescent="0.35">
      <c r="B40" s="4" t="s">
        <v>44</v>
      </c>
      <c r="C40" s="4"/>
      <c r="D40" s="4"/>
      <c r="E40" s="4"/>
      <c r="F40" s="4"/>
      <c r="G40" s="4"/>
      <c r="H40" s="4"/>
    </row>
    <row r="41" spans="2:8" ht="43.5" customHeight="1" x14ac:dyDescent="0.35">
      <c r="B41" s="3" t="s">
        <v>45</v>
      </c>
      <c r="C41" s="3"/>
      <c r="D41" s="3"/>
      <c r="E41" s="3"/>
      <c r="F41" s="3"/>
      <c r="G41" s="3"/>
      <c r="H41" s="3"/>
    </row>
    <row r="42" spans="2:8" ht="6" customHeight="1" x14ac:dyDescent="0.35">
      <c r="B42" s="22"/>
      <c r="C42" s="23"/>
      <c r="D42" s="23"/>
      <c r="E42" s="23"/>
      <c r="F42" s="23"/>
      <c r="G42" s="23"/>
      <c r="H42" s="24"/>
    </row>
    <row r="44" spans="2:8" ht="21.75" customHeight="1" x14ac:dyDescent="0.35">
      <c r="B44" s="11" t="s">
        <v>46</v>
      </c>
      <c r="C44" s="11"/>
      <c r="D44" s="11"/>
      <c r="E44" s="11"/>
      <c r="F44" s="11"/>
      <c r="G44" s="11"/>
      <c r="H44" s="11"/>
    </row>
    <row r="45" spans="2:8" ht="6" customHeight="1" x14ac:dyDescent="0.35"/>
    <row r="46" spans="2:8" ht="18" customHeight="1" x14ac:dyDescent="0.35">
      <c r="B46" s="2" t="s">
        <v>47</v>
      </c>
      <c r="C46" s="2"/>
      <c r="D46" s="1" t="s">
        <v>48</v>
      </c>
      <c r="E46" s="1"/>
      <c r="F46" s="1"/>
      <c r="G46" s="1"/>
      <c r="H46" s="1"/>
    </row>
    <row r="47" spans="2:8" ht="31.5" customHeight="1" x14ac:dyDescent="0.35">
      <c r="B47" s="90" t="s">
        <v>49</v>
      </c>
      <c r="C47" s="90"/>
      <c r="D47" s="91" t="s">
        <v>50</v>
      </c>
      <c r="E47" s="91"/>
      <c r="F47" s="91"/>
      <c r="G47" s="91"/>
      <c r="H47" s="91"/>
    </row>
    <row r="49" spans="1:9" ht="15" customHeight="1" x14ac:dyDescent="0.35">
      <c r="B49" s="92" t="s">
        <v>51</v>
      </c>
      <c r="C49" s="92"/>
      <c r="D49" s="92"/>
      <c r="E49" s="92"/>
      <c r="F49" s="92"/>
      <c r="G49" s="92"/>
      <c r="H49" s="92"/>
    </row>
    <row r="50" spans="1:9" ht="93.75" customHeight="1" x14ac:dyDescent="0.35">
      <c r="B50" s="93" t="s">
        <v>52</v>
      </c>
      <c r="C50" s="93"/>
      <c r="D50" s="93"/>
      <c r="E50" s="93"/>
      <c r="F50" s="93"/>
      <c r="G50" s="93"/>
      <c r="H50" s="93"/>
    </row>
    <row r="52" spans="1:9" ht="7.5" customHeight="1" x14ac:dyDescent="0.35">
      <c r="A52" s="15"/>
      <c r="B52" s="15"/>
      <c r="C52" s="15"/>
      <c r="D52" s="15"/>
      <c r="E52" s="15"/>
      <c r="F52" s="15"/>
      <c r="G52" s="15"/>
      <c r="H52" s="15"/>
      <c r="I52" s="15"/>
    </row>
    <row r="53" spans="1:9" ht="19.5" customHeight="1" x14ac:dyDescent="0.35">
      <c r="A53" s="15"/>
      <c r="B53" s="94" t="s">
        <v>53</v>
      </c>
      <c r="C53" s="94"/>
      <c r="D53" s="94"/>
      <c r="E53" s="94"/>
      <c r="F53" s="94"/>
      <c r="G53" s="94"/>
      <c r="H53" s="94"/>
      <c r="I53" s="15"/>
    </row>
    <row r="54" spans="1:9" ht="15.75" customHeight="1" x14ac:dyDescent="0.35">
      <c r="A54" s="15"/>
      <c r="B54" s="95" t="s">
        <v>54</v>
      </c>
      <c r="C54" s="95"/>
      <c r="D54" s="95"/>
      <c r="E54" s="95"/>
      <c r="F54" s="95"/>
      <c r="G54" s="95"/>
      <c r="H54" s="95"/>
      <c r="I54" s="15"/>
    </row>
    <row r="55" spans="1:9" ht="15.75" customHeight="1" x14ac:dyDescent="0.35">
      <c r="A55" s="15"/>
      <c r="B55" s="96" t="s">
        <v>55</v>
      </c>
      <c r="C55" s="96"/>
      <c r="D55" s="96"/>
      <c r="E55" s="96"/>
      <c r="F55" s="96"/>
      <c r="G55" s="96"/>
      <c r="H55" s="96"/>
      <c r="I55" s="15"/>
    </row>
    <row r="56" spans="1:9" ht="9.75" customHeight="1" x14ac:dyDescent="0.35">
      <c r="A56" s="15"/>
      <c r="B56" s="15"/>
      <c r="C56" s="15"/>
      <c r="D56" s="15"/>
      <c r="E56" s="15"/>
      <c r="F56" s="15"/>
      <c r="G56" s="15"/>
      <c r="H56" s="15"/>
      <c r="I56" s="15"/>
    </row>
  </sheetData>
  <sheetProtection sheet="1" formatCells="0" sort="0" autoFilter="0"/>
  <mergeCells count="37">
    <mergeCell ref="B54:H54"/>
    <mergeCell ref="B55:H55"/>
    <mergeCell ref="B47:C47"/>
    <mergeCell ref="D47:H47"/>
    <mergeCell ref="B49:H49"/>
    <mergeCell ref="B50:H50"/>
    <mergeCell ref="B53:H53"/>
    <mergeCell ref="B40:H40"/>
    <mergeCell ref="B41:H41"/>
    <mergeCell ref="B44:H44"/>
    <mergeCell ref="B46:C46"/>
    <mergeCell ref="D46:H46"/>
    <mergeCell ref="C34:H34"/>
    <mergeCell ref="C35:G35"/>
    <mergeCell ref="C36:H36"/>
    <mergeCell ref="C37:G37"/>
    <mergeCell ref="C38:H38"/>
    <mergeCell ref="B27:H27"/>
    <mergeCell ref="B29:H29"/>
    <mergeCell ref="C31:G31"/>
    <mergeCell ref="C32:H32"/>
    <mergeCell ref="C33:G33"/>
    <mergeCell ref="C16:H16"/>
    <mergeCell ref="C17:H17"/>
    <mergeCell ref="C18:H18"/>
    <mergeCell ref="B20:H20"/>
    <mergeCell ref="B22:H22"/>
    <mergeCell ref="B11:H11"/>
    <mergeCell ref="C12:H12"/>
    <mergeCell ref="C13:H13"/>
    <mergeCell ref="C14:H14"/>
    <mergeCell ref="C15:H15"/>
    <mergeCell ref="B2:H2"/>
    <mergeCell ref="B3:H3"/>
    <mergeCell ref="B4:H4"/>
    <mergeCell ref="B8:H8"/>
    <mergeCell ref="B10:H10"/>
  </mergeCells>
  <pageMargins left="0.4" right="0.4" top="0.35" bottom="0.3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3"/>
  <sheetViews>
    <sheetView showGridLines="0" zoomScaleNormal="100" workbookViewId="0">
      <pane ySplit="4" topLeftCell="A17" activePane="bottomLeft" state="frozen"/>
      <selection pane="bottomLeft" activeCell="B38" sqref="B38:C38"/>
    </sheetView>
  </sheetViews>
  <sheetFormatPr defaultColWidth="8.6328125" defaultRowHeight="14.5" x14ac:dyDescent="0.35"/>
  <cols>
    <col min="1" max="1" width="3" customWidth="1"/>
    <col min="2" max="2" width="40" customWidth="1"/>
    <col min="3" max="3" width="34" customWidth="1"/>
    <col min="4" max="4" width="3" customWidth="1"/>
    <col min="5" max="5" width="26" customWidth="1"/>
    <col min="6" max="6" width="24" customWidth="1"/>
    <col min="7" max="7" width="3" customWidth="1"/>
    <col min="8" max="8" width="42" customWidth="1"/>
    <col min="9" max="9" width="3" customWidth="1"/>
  </cols>
  <sheetData>
    <row r="1" spans="1:9" ht="7.5" customHeight="1" x14ac:dyDescent="0.35">
      <c r="A1" s="15"/>
      <c r="B1" s="15"/>
      <c r="C1" s="15"/>
      <c r="D1" s="15"/>
      <c r="E1" s="15"/>
      <c r="F1" s="15"/>
      <c r="G1" s="15"/>
      <c r="H1" s="15"/>
      <c r="I1" s="15"/>
    </row>
    <row r="2" spans="1:9" ht="27.75" customHeight="1" x14ac:dyDescent="0.35">
      <c r="A2" s="15"/>
      <c r="B2" s="97" t="s">
        <v>56</v>
      </c>
      <c r="C2" s="97"/>
      <c r="D2" s="97"/>
      <c r="E2" s="97"/>
      <c r="F2" s="97"/>
      <c r="G2" s="97"/>
      <c r="H2" s="97"/>
      <c r="I2" s="15"/>
    </row>
    <row r="3" spans="1:9" ht="18" customHeight="1" x14ac:dyDescent="0.35">
      <c r="A3" s="15"/>
      <c r="B3" s="98" t="s">
        <v>57</v>
      </c>
      <c r="C3" s="98"/>
      <c r="D3" s="98"/>
      <c r="E3" s="98"/>
      <c r="F3" s="98"/>
      <c r="G3" s="98"/>
      <c r="H3" s="98"/>
      <c r="I3" s="15"/>
    </row>
    <row r="4" spans="1:9" ht="7.5" customHeight="1" x14ac:dyDescent="0.35">
      <c r="A4" s="15"/>
      <c r="B4" s="15"/>
      <c r="C4" s="15"/>
      <c r="D4" s="15"/>
      <c r="E4" s="15"/>
      <c r="F4" s="15"/>
      <c r="G4" s="15"/>
      <c r="H4" s="15"/>
      <c r="I4" s="15"/>
    </row>
    <row r="5" spans="1:9" ht="9.75" customHeight="1" x14ac:dyDescent="0.35"/>
    <row r="6" spans="1:9" ht="19.5" customHeight="1" x14ac:dyDescent="0.35">
      <c r="B6" s="99" t="s">
        <v>58</v>
      </c>
      <c r="C6" s="99"/>
    </row>
    <row r="7" spans="1:9" ht="18" customHeight="1" x14ac:dyDescent="0.35">
      <c r="B7" s="26" t="s">
        <v>59</v>
      </c>
      <c r="C7" s="27" t="s">
        <v>60</v>
      </c>
      <c r="E7" s="26" t="s">
        <v>61</v>
      </c>
      <c r="F7" s="28"/>
      <c r="G7" s="28"/>
      <c r="H7" s="28"/>
    </row>
    <row r="8" spans="1:9" ht="24" customHeight="1" x14ac:dyDescent="0.35">
      <c r="B8" s="29" t="s">
        <v>62</v>
      </c>
      <c r="C8" s="30" t="s">
        <v>63</v>
      </c>
      <c r="E8" s="100" t="s">
        <v>64</v>
      </c>
      <c r="F8" s="100"/>
      <c r="G8" s="100"/>
      <c r="H8" s="100"/>
    </row>
    <row r="9" spans="1:9" ht="24" customHeight="1" x14ac:dyDescent="0.35">
      <c r="B9" s="29" t="s">
        <v>65</v>
      </c>
      <c r="C9" s="30" t="s">
        <v>66</v>
      </c>
      <c r="E9" s="100" t="s">
        <v>67</v>
      </c>
      <c r="F9" s="100"/>
      <c r="G9" s="100"/>
      <c r="H9" s="100"/>
    </row>
    <row r="10" spans="1:9" ht="24" customHeight="1" x14ac:dyDescent="0.35">
      <c r="B10" s="29" t="s">
        <v>68</v>
      </c>
      <c r="C10" s="31">
        <v>46234</v>
      </c>
      <c r="E10" s="100" t="s">
        <v>69</v>
      </c>
      <c r="F10" s="100"/>
      <c r="G10" s="100"/>
      <c r="H10" s="100"/>
    </row>
    <row r="11" spans="1:9" ht="24" customHeight="1" x14ac:dyDescent="0.35">
      <c r="B11" s="29" t="s">
        <v>70</v>
      </c>
      <c r="C11" s="31">
        <v>46387</v>
      </c>
      <c r="E11" s="100" t="s">
        <v>71</v>
      </c>
      <c r="F11" s="100"/>
      <c r="G11" s="100"/>
      <c r="H11" s="100"/>
    </row>
    <row r="12" spans="1:9" ht="12" customHeight="1" x14ac:dyDescent="0.35"/>
    <row r="13" spans="1:9" ht="19.5" customHeight="1" x14ac:dyDescent="0.35">
      <c r="B13" s="99" t="s">
        <v>72</v>
      </c>
      <c r="C13" s="99"/>
    </row>
    <row r="14" spans="1:9" ht="18" customHeight="1" x14ac:dyDescent="0.35">
      <c r="B14" s="26" t="s">
        <v>59</v>
      </c>
      <c r="C14" s="27" t="s">
        <v>60</v>
      </c>
      <c r="E14" s="26" t="s">
        <v>61</v>
      </c>
      <c r="F14" s="28"/>
      <c r="G14" s="28"/>
      <c r="H14" s="28"/>
    </row>
    <row r="15" spans="1:9" ht="36" customHeight="1" x14ac:dyDescent="0.35">
      <c r="B15" s="29" t="s">
        <v>73</v>
      </c>
      <c r="C15" s="32">
        <v>8</v>
      </c>
      <c r="E15" s="100" t="s">
        <v>74</v>
      </c>
      <c r="F15" s="100"/>
      <c r="G15" s="100"/>
      <c r="H15" s="100"/>
    </row>
    <row r="16" spans="1:9" ht="36" customHeight="1" x14ac:dyDescent="0.35">
      <c r="B16" s="33" t="s">
        <v>75</v>
      </c>
      <c r="C16" s="34">
        <f>IFERROR(C10+C15,"")</f>
        <v>46242</v>
      </c>
      <c r="E16" s="100" t="s">
        <v>76</v>
      </c>
      <c r="F16" s="100"/>
      <c r="G16" s="100"/>
      <c r="H16" s="100"/>
    </row>
    <row r="17" spans="2:8" ht="24" customHeight="1" x14ac:dyDescent="0.35">
      <c r="B17" s="29" t="s">
        <v>77</v>
      </c>
      <c r="C17" s="31">
        <v>46242</v>
      </c>
      <c r="E17" s="100" t="s">
        <v>78</v>
      </c>
      <c r="F17" s="100"/>
      <c r="G17" s="100"/>
      <c r="H17" s="100"/>
    </row>
    <row r="18" spans="2:8" ht="24" customHeight="1" x14ac:dyDescent="0.35">
      <c r="B18" s="29" t="s">
        <v>79</v>
      </c>
      <c r="C18" s="31">
        <v>46246</v>
      </c>
      <c r="E18" s="100" t="s">
        <v>80</v>
      </c>
      <c r="F18" s="100"/>
      <c r="G18" s="100"/>
      <c r="H18" s="100"/>
    </row>
    <row r="19" spans="2:8" ht="12" customHeight="1" x14ac:dyDescent="0.35"/>
    <row r="20" spans="2:8" ht="19.5" customHeight="1" x14ac:dyDescent="0.35">
      <c r="B20" s="99" t="s">
        <v>81</v>
      </c>
      <c r="C20" s="99"/>
      <c r="E20" s="99" t="s">
        <v>82</v>
      </c>
      <c r="F20" s="99"/>
      <c r="H20" s="101" t="s">
        <v>83</v>
      </c>
    </row>
    <row r="21" spans="2:8" ht="18" customHeight="1" x14ac:dyDescent="0.35">
      <c r="B21" s="102" t="s">
        <v>84</v>
      </c>
      <c r="C21" s="102"/>
      <c r="E21" s="102" t="s">
        <v>85</v>
      </c>
      <c r="F21" s="102"/>
      <c r="H21" s="101"/>
    </row>
    <row r="22" spans="2:8" ht="18" customHeight="1" x14ac:dyDescent="0.35">
      <c r="B22" s="26" t="s">
        <v>86</v>
      </c>
      <c r="C22" s="27" t="s">
        <v>87</v>
      </c>
      <c r="E22" s="26" t="s">
        <v>86</v>
      </c>
      <c r="F22" s="27" t="s">
        <v>88</v>
      </c>
      <c r="H22" s="101"/>
    </row>
    <row r="23" spans="2:8" ht="18" customHeight="1" x14ac:dyDescent="0.35">
      <c r="B23" s="35">
        <v>1</v>
      </c>
      <c r="C23" s="30" t="s">
        <v>89</v>
      </c>
      <c r="E23" s="35">
        <v>1</v>
      </c>
      <c r="F23" s="30" t="s">
        <v>90</v>
      </c>
      <c r="H23" s="101"/>
    </row>
    <row r="24" spans="2:8" ht="18" customHeight="1" x14ac:dyDescent="0.35">
      <c r="B24" s="35">
        <v>2</v>
      </c>
      <c r="C24" s="30" t="s">
        <v>91</v>
      </c>
      <c r="E24" s="35">
        <v>2</v>
      </c>
      <c r="F24" s="30" t="s">
        <v>92</v>
      </c>
      <c r="H24" s="101"/>
    </row>
    <row r="25" spans="2:8" ht="18" customHeight="1" x14ac:dyDescent="0.35">
      <c r="B25" s="35">
        <v>3</v>
      </c>
      <c r="C25" s="30" t="s">
        <v>93</v>
      </c>
      <c r="E25" s="35">
        <v>3</v>
      </c>
      <c r="F25" s="30" t="s">
        <v>94</v>
      </c>
    </row>
    <row r="26" spans="2:8" ht="18" customHeight="1" x14ac:dyDescent="0.35">
      <c r="B26" s="35">
        <v>4</v>
      </c>
      <c r="C26" s="30" t="s">
        <v>95</v>
      </c>
      <c r="E26" s="35">
        <v>4</v>
      </c>
      <c r="F26" s="30" t="s">
        <v>96</v>
      </c>
    </row>
    <row r="27" spans="2:8" ht="18" customHeight="1" x14ac:dyDescent="0.35">
      <c r="B27" s="35">
        <v>5</v>
      </c>
      <c r="C27" s="30" t="s">
        <v>97</v>
      </c>
      <c r="E27" s="35">
        <v>5</v>
      </c>
      <c r="F27" s="30" t="s">
        <v>98</v>
      </c>
    </row>
    <row r="28" spans="2:8" ht="18" customHeight="1" x14ac:dyDescent="0.35">
      <c r="B28" s="35">
        <v>6</v>
      </c>
      <c r="C28" s="30" t="s">
        <v>99</v>
      </c>
      <c r="E28" s="35">
        <v>6</v>
      </c>
      <c r="F28" s="30" t="s">
        <v>100</v>
      </c>
    </row>
    <row r="29" spans="2:8" ht="18" customHeight="1" x14ac:dyDescent="0.35">
      <c r="B29" s="35">
        <v>7</v>
      </c>
      <c r="C29" s="30" t="s">
        <v>101</v>
      </c>
      <c r="E29" s="35">
        <v>7</v>
      </c>
      <c r="F29" s="30" t="s">
        <v>102</v>
      </c>
    </row>
    <row r="30" spans="2:8" ht="18" customHeight="1" x14ac:dyDescent="0.35">
      <c r="B30" s="35">
        <v>8</v>
      </c>
      <c r="C30" s="30"/>
      <c r="E30" s="35">
        <v>8</v>
      </c>
      <c r="F30" s="30" t="s">
        <v>103</v>
      </c>
    </row>
    <row r="31" spans="2:8" ht="18" customHeight="1" x14ac:dyDescent="0.35">
      <c r="B31" s="35">
        <v>9</v>
      </c>
      <c r="C31" s="30"/>
      <c r="E31" s="35">
        <v>9</v>
      </c>
      <c r="F31" s="30" t="s">
        <v>104</v>
      </c>
    </row>
    <row r="32" spans="2:8" ht="18" customHeight="1" x14ac:dyDescent="0.35">
      <c r="B32" s="35">
        <v>10</v>
      </c>
      <c r="C32" s="30"/>
      <c r="E32" s="35">
        <v>10</v>
      </c>
      <c r="F32" s="30" t="s">
        <v>105</v>
      </c>
    </row>
    <row r="33" spans="2:8" ht="18" customHeight="1" x14ac:dyDescent="0.35">
      <c r="E33" s="35">
        <v>11</v>
      </c>
      <c r="F33" s="30" t="s">
        <v>106</v>
      </c>
    </row>
    <row r="34" spans="2:8" ht="19.5" customHeight="1" x14ac:dyDescent="0.35">
      <c r="B34" s="103" t="s">
        <v>107</v>
      </c>
      <c r="C34" s="103"/>
      <c r="E34" s="35">
        <v>12</v>
      </c>
      <c r="F34" s="30" t="s">
        <v>101</v>
      </c>
    </row>
    <row r="35" spans="2:8" ht="16.5" customHeight="1" x14ac:dyDescent="0.35">
      <c r="B35" s="104" t="s">
        <v>108</v>
      </c>
      <c r="C35" s="104"/>
      <c r="H35" s="101" t="s">
        <v>109</v>
      </c>
    </row>
    <row r="36" spans="2:8" ht="16.5" customHeight="1" x14ac:dyDescent="0.35">
      <c r="B36" s="105" t="s">
        <v>110</v>
      </c>
      <c r="C36" s="105"/>
      <c r="H36" s="101"/>
    </row>
    <row r="37" spans="2:8" ht="16.5" customHeight="1" x14ac:dyDescent="0.35">
      <c r="B37" s="104" t="s">
        <v>111</v>
      </c>
      <c r="C37" s="104"/>
      <c r="H37" s="101"/>
    </row>
    <row r="38" spans="2:8" ht="16.5" customHeight="1" x14ac:dyDescent="0.35">
      <c r="B38" s="106" t="s">
        <v>112</v>
      </c>
      <c r="C38" s="106"/>
      <c r="H38" s="101"/>
    </row>
    <row r="40" spans="2:8" ht="19.5" customHeight="1" x14ac:dyDescent="0.35">
      <c r="B40" s="107" t="s">
        <v>113</v>
      </c>
      <c r="C40" s="107"/>
      <c r="D40" s="107"/>
      <c r="E40" s="107"/>
      <c r="F40" s="107"/>
      <c r="G40" s="107"/>
      <c r="H40" s="107"/>
    </row>
    <row r="41" spans="2:8" ht="19.5" customHeight="1" x14ac:dyDescent="0.35">
      <c r="B41" s="107"/>
      <c r="C41" s="107"/>
      <c r="D41" s="107"/>
      <c r="E41" s="107"/>
      <c r="F41" s="107"/>
      <c r="G41" s="107"/>
      <c r="H41" s="107"/>
    </row>
    <row r="43" spans="2:8" ht="18" customHeight="1" x14ac:dyDescent="0.35">
      <c r="B43" s="108" t="s">
        <v>114</v>
      </c>
      <c r="C43" s="108"/>
      <c r="D43" s="108"/>
      <c r="E43" s="108"/>
      <c r="F43" s="108"/>
      <c r="G43" s="108"/>
      <c r="H43" s="108"/>
    </row>
  </sheetData>
  <sheetProtection sheet="1" formatCells="0" sort="0" autoFilter="0"/>
  <mergeCells count="25">
    <mergeCell ref="B40:H41"/>
    <mergeCell ref="B43:H43"/>
    <mergeCell ref="B34:C34"/>
    <mergeCell ref="B35:C35"/>
    <mergeCell ref="H35:H38"/>
    <mergeCell ref="B36:C36"/>
    <mergeCell ref="B37:C37"/>
    <mergeCell ref="B38:C38"/>
    <mergeCell ref="E17:H17"/>
    <mergeCell ref="E18:H18"/>
    <mergeCell ref="B20:C20"/>
    <mergeCell ref="E20:F20"/>
    <mergeCell ref="H20:H24"/>
    <mergeCell ref="B21:C21"/>
    <mergeCell ref="E21:F21"/>
    <mergeCell ref="E10:H10"/>
    <mergeCell ref="E11:H11"/>
    <mergeCell ref="B13:C13"/>
    <mergeCell ref="E15:H15"/>
    <mergeCell ref="E16:H16"/>
    <mergeCell ref="B2:H2"/>
    <mergeCell ref="B3:H3"/>
    <mergeCell ref="B6:C6"/>
    <mergeCell ref="E8:H8"/>
    <mergeCell ref="E9:H9"/>
  </mergeCells>
  <dataValidations count="2">
    <dataValidation type="date" showErrorMessage="1" errorTitle="Date" error="Enter a valid date." sqref="C10:C11 C17:C18" xr:uid="{00000000-0002-0000-0100-000000000000}">
      <formula1>DATE(2020,1,1)</formula1>
      <formula2>DATE(2060,12,31)</formula2>
    </dataValidation>
    <dataValidation type="whole" showInputMessage="1" showErrorMessage="1" errorTitle="Target Calendar Days to Close" error="Enter a whole number of calendar days between 0 and 90." promptTitle="Target Calendar Days to Close" prompt="Your own target. This workbook does not suggest how quickly any business should close its books." sqref="C15" xr:uid="{00000000-0002-0000-0100-000001000000}">
      <formula1>0</formula1>
      <formula2>90</formula2>
    </dataValidation>
  </dataValidations>
  <pageMargins left="0.75" right="0.75" top="1" bottom="1" header="0.511811023622047" footer="0.511811023622047"/>
  <pageSetup fitToHeight="0"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92"/>
  <sheetViews>
    <sheetView showGridLines="0" zoomScale="80" zoomScaleNormal="80" workbookViewId="0">
      <pane xSplit="4" ySplit="19" topLeftCell="E83" activePane="bottomRight" state="frozen"/>
      <selection pane="topRight" activeCell="E1" sqref="E1"/>
      <selection pane="bottomLeft" activeCell="A20" sqref="A20"/>
      <selection pane="bottomRight" activeCell="F86" sqref="F86"/>
    </sheetView>
  </sheetViews>
  <sheetFormatPr defaultColWidth="8.6328125" defaultRowHeight="14.5" x14ac:dyDescent="0.35"/>
  <cols>
    <col min="1" max="1" width="3" customWidth="1"/>
    <col min="2" max="2" width="5" customWidth="1"/>
    <col min="3" max="3" width="24" customWidth="1"/>
    <col min="4" max="4" width="48" customWidth="1"/>
    <col min="5" max="5" width="50" customWidth="1"/>
    <col min="6" max="6" width="15" customWidth="1"/>
    <col min="7" max="7" width="12" customWidth="1"/>
    <col min="8" max="8" width="15" customWidth="1"/>
    <col min="9" max="9" width="13" customWidth="1"/>
    <col min="10" max="10" width="30" customWidth="1"/>
    <col min="11" max="11" width="3" customWidth="1"/>
  </cols>
  <sheetData>
    <row r="1" spans="1:11" ht="13.5" customHeight="1" x14ac:dyDescent="0.35">
      <c r="A1" s="109" t="s">
        <v>0</v>
      </c>
      <c r="B1" s="109"/>
      <c r="C1" s="109"/>
      <c r="D1" s="109"/>
      <c r="E1" s="109"/>
      <c r="F1" s="109"/>
      <c r="G1" s="109"/>
      <c r="H1" s="109"/>
      <c r="I1" s="109"/>
      <c r="J1" s="109"/>
      <c r="K1" s="109"/>
    </row>
    <row r="2" spans="1:11" ht="25.5" customHeight="1" x14ac:dyDescent="0.35">
      <c r="A2" s="110" t="s">
        <v>115</v>
      </c>
      <c r="B2" s="110"/>
      <c r="C2" s="110"/>
      <c r="D2" s="110"/>
      <c r="E2" s="110"/>
      <c r="F2" s="111" t="str">
        <f>IFERROR("Closing: "&amp;'CLOSE SETUP'!$C$9&amp;"     ·     FICTIONAL EXAMPLE DATA","")</f>
        <v>Closing: July 2026     ·     FICTIONAL EXAMPLE DATA</v>
      </c>
      <c r="G2" s="111"/>
      <c r="H2" s="111"/>
      <c r="I2" s="111"/>
      <c r="J2" s="111"/>
      <c r="K2" s="111"/>
    </row>
    <row r="3" spans="1:11" ht="15.75" customHeight="1" x14ac:dyDescent="0.35">
      <c r="A3" s="112" t="s">
        <v>116</v>
      </c>
      <c r="B3" s="112"/>
      <c r="C3" s="112"/>
      <c r="D3" s="112"/>
      <c r="E3" s="112"/>
      <c r="F3" s="112"/>
      <c r="G3" s="112"/>
      <c r="H3" s="112"/>
      <c r="I3" s="112"/>
      <c r="J3" s="112"/>
      <c r="K3" s="112"/>
    </row>
    <row r="4" spans="1:11" ht="7.5" customHeight="1" x14ac:dyDescent="0.35"/>
    <row r="5" spans="1:11" ht="19.5" customHeight="1" x14ac:dyDescent="0.35">
      <c r="C5" s="99" t="s">
        <v>117</v>
      </c>
      <c r="D5" s="99"/>
    </row>
    <row r="6" spans="1:11" ht="18.75" customHeight="1" x14ac:dyDescent="0.35">
      <c r="C6" s="36" t="s">
        <v>118</v>
      </c>
      <c r="D6" s="37">
        <f>62</f>
        <v>62</v>
      </c>
      <c r="E6" s="113" t="s">
        <v>119</v>
      </c>
      <c r="F6" s="113"/>
      <c r="G6" s="113"/>
      <c r="H6" s="113"/>
      <c r="I6" s="113"/>
      <c r="J6" s="113"/>
    </row>
    <row r="7" spans="1:11" ht="18.75" customHeight="1" x14ac:dyDescent="0.35">
      <c r="C7" s="36" t="s">
        <v>120</v>
      </c>
      <c r="D7" s="37">
        <f>COUNTIF($H$21:$H$90,"N/A")</f>
        <v>9</v>
      </c>
      <c r="E7" s="113"/>
      <c r="F7" s="113"/>
      <c r="G7" s="113"/>
      <c r="H7" s="113"/>
      <c r="I7" s="113"/>
      <c r="J7" s="113"/>
    </row>
    <row r="8" spans="1:11" ht="18.75" customHeight="1" x14ac:dyDescent="0.35">
      <c r="C8" s="38" t="s">
        <v>121</v>
      </c>
      <c r="D8" s="39">
        <f>D6-D7</f>
        <v>53</v>
      </c>
      <c r="E8" s="113"/>
      <c r="F8" s="113"/>
      <c r="G8" s="113"/>
      <c r="H8" s="113"/>
      <c r="I8" s="113"/>
      <c r="J8" s="113"/>
    </row>
    <row r="9" spans="1:11" ht="18.75" customHeight="1" x14ac:dyDescent="0.35">
      <c r="C9" s="36" t="s">
        <v>122</v>
      </c>
      <c r="D9" s="37">
        <f>COUNTIF($H$21:$H$90,"Complete")</f>
        <v>47</v>
      </c>
    </row>
    <row r="10" spans="1:11" ht="18.75" customHeight="1" x14ac:dyDescent="0.35">
      <c r="C10" s="36" t="s">
        <v>123</v>
      </c>
      <c r="D10" s="37">
        <f>COUNTIF($H$21:$H$90,"In Progress")</f>
        <v>3</v>
      </c>
      <c r="E10" s="114" t="s">
        <v>124</v>
      </c>
      <c r="F10" s="114"/>
      <c r="G10" s="114"/>
      <c r="H10" s="114"/>
      <c r="I10" s="114"/>
      <c r="J10" s="114"/>
    </row>
    <row r="11" spans="1:11" ht="18.75" customHeight="1" x14ac:dyDescent="0.35">
      <c r="C11" s="36" t="s">
        <v>125</v>
      </c>
      <c r="D11" s="37">
        <f>COUNTIF($H$21:$H$90,"Needs Review")</f>
        <v>1</v>
      </c>
      <c r="E11" s="114"/>
      <c r="F11" s="114"/>
      <c r="G11" s="114"/>
      <c r="H11" s="114"/>
      <c r="I11" s="114"/>
      <c r="J11" s="114"/>
    </row>
    <row r="12" spans="1:11" ht="18.75" customHeight="1" x14ac:dyDescent="0.35">
      <c r="C12" s="36" t="s">
        <v>126</v>
      </c>
      <c r="D12" s="37">
        <f>COUNTIF($H$21:$H$90,"Not Started")</f>
        <v>2</v>
      </c>
    </row>
    <row r="13" spans="1:11" ht="18.75" customHeight="1" x14ac:dyDescent="0.35">
      <c r="C13" s="38" t="s">
        <v>127</v>
      </c>
      <c r="D13" s="39">
        <f>D12+D10</f>
        <v>5</v>
      </c>
    </row>
    <row r="14" spans="1:11" ht="18.75" customHeight="1" x14ac:dyDescent="0.35">
      <c r="C14" s="38" t="s">
        <v>128</v>
      </c>
      <c r="D14" s="40">
        <f>IFERROR(IF(D8=0,0,D9/D8),0)</f>
        <v>0.8867924528301887</v>
      </c>
    </row>
    <row r="15" spans="1:11" ht="24" customHeight="1" x14ac:dyDescent="0.35">
      <c r="C15" s="41" t="s">
        <v>129</v>
      </c>
      <c r="D15" s="42" t="str">
        <f>IFERROR(IF(D8=0,"Close Not Started",IF(AND(D9=0,D10=0,D11=0),"Close Not Started",IF(D11&gt;0,"Review Required",IF(D13&gt;0,"Close In Progress","Ready for Owner Review")))),"Close Not Started")</f>
        <v>Review Required</v>
      </c>
    </row>
    <row r="18" spans="2:10" ht="19.5" customHeight="1" x14ac:dyDescent="0.35">
      <c r="B18" s="115" t="s">
        <v>130</v>
      </c>
      <c r="C18" s="115"/>
      <c r="D18" s="115"/>
      <c r="E18" s="115"/>
      <c r="F18" s="115"/>
      <c r="G18" s="115"/>
      <c r="H18" s="115"/>
      <c r="I18" s="115"/>
      <c r="J18" s="115"/>
    </row>
    <row r="19" spans="2:10" ht="21.75" customHeight="1" x14ac:dyDescent="0.35">
      <c r="B19" s="43" t="s">
        <v>131</v>
      </c>
      <c r="C19" s="26" t="s">
        <v>132</v>
      </c>
      <c r="D19" s="26" t="s">
        <v>133</v>
      </c>
      <c r="E19" s="26" t="s">
        <v>134</v>
      </c>
      <c r="F19" s="43" t="s">
        <v>89</v>
      </c>
      <c r="G19" s="43" t="s">
        <v>135</v>
      </c>
      <c r="H19" s="43" t="s">
        <v>136</v>
      </c>
      <c r="I19" s="43" t="s">
        <v>137</v>
      </c>
      <c r="J19" s="26" t="s">
        <v>138</v>
      </c>
    </row>
    <row r="20" spans="2:10" ht="18.75" customHeight="1" x14ac:dyDescent="0.35">
      <c r="B20" s="116" t="s">
        <v>139</v>
      </c>
      <c r="C20" s="116"/>
      <c r="D20" s="116"/>
      <c r="E20" s="116"/>
      <c r="F20" s="116"/>
      <c r="G20" s="116"/>
      <c r="H20" s="116"/>
      <c r="I20" s="116"/>
      <c r="J20" s="116"/>
    </row>
    <row r="21" spans="2:10" ht="30" customHeight="1" x14ac:dyDescent="0.35">
      <c r="B21" s="44">
        <v>1</v>
      </c>
      <c r="C21" s="45" t="s">
        <v>140</v>
      </c>
      <c r="D21" s="46" t="s">
        <v>141</v>
      </c>
      <c r="E21" s="47" t="s">
        <v>142</v>
      </c>
      <c r="F21" s="48" t="s">
        <v>91</v>
      </c>
      <c r="G21" s="49">
        <v>46237</v>
      </c>
      <c r="H21" s="48" t="s">
        <v>122</v>
      </c>
      <c r="I21" s="49">
        <v>46236</v>
      </c>
      <c r="J21" s="50"/>
    </row>
    <row r="22" spans="2:10" ht="30" customHeight="1" x14ac:dyDescent="0.35">
      <c r="B22" s="44">
        <v>2</v>
      </c>
      <c r="C22" s="45" t="s">
        <v>140</v>
      </c>
      <c r="D22" s="46" t="s">
        <v>143</v>
      </c>
      <c r="E22" s="47" t="s">
        <v>144</v>
      </c>
      <c r="F22" s="48" t="s">
        <v>91</v>
      </c>
      <c r="G22" s="49">
        <v>46237</v>
      </c>
      <c r="H22" s="48" t="s">
        <v>122</v>
      </c>
      <c r="I22" s="49">
        <v>46236</v>
      </c>
      <c r="J22" s="50"/>
    </row>
    <row r="23" spans="2:10" ht="30" customHeight="1" x14ac:dyDescent="0.35">
      <c r="B23" s="44">
        <v>3</v>
      </c>
      <c r="C23" s="45" t="s">
        <v>140</v>
      </c>
      <c r="D23" s="46" t="s">
        <v>145</v>
      </c>
      <c r="E23" s="47" t="s">
        <v>146</v>
      </c>
      <c r="F23" s="48" t="s">
        <v>91</v>
      </c>
      <c r="G23" s="49">
        <v>46237</v>
      </c>
      <c r="H23" s="48" t="s">
        <v>122</v>
      </c>
      <c r="I23" s="49">
        <v>46237</v>
      </c>
      <c r="J23" s="50"/>
    </row>
    <row r="24" spans="2:10" ht="30" customHeight="1" x14ac:dyDescent="0.35">
      <c r="B24" s="44">
        <v>4</v>
      </c>
      <c r="C24" s="45" t="s">
        <v>140</v>
      </c>
      <c r="D24" s="46" t="s">
        <v>147</v>
      </c>
      <c r="E24" s="47" t="s">
        <v>148</v>
      </c>
      <c r="F24" s="48" t="s">
        <v>91</v>
      </c>
      <c r="G24" s="49">
        <v>46237</v>
      </c>
      <c r="H24" s="48" t="s">
        <v>122</v>
      </c>
      <c r="I24" s="49">
        <v>46237</v>
      </c>
      <c r="J24" s="50"/>
    </row>
    <row r="25" spans="2:10" ht="30" customHeight="1" x14ac:dyDescent="0.35">
      <c r="B25" s="44">
        <v>5</v>
      </c>
      <c r="C25" s="45" t="s">
        <v>140</v>
      </c>
      <c r="D25" s="46" t="s">
        <v>149</v>
      </c>
      <c r="E25" s="47" t="s">
        <v>150</v>
      </c>
      <c r="F25" s="48" t="s">
        <v>91</v>
      </c>
      <c r="G25" s="49">
        <v>46237</v>
      </c>
      <c r="H25" s="48" t="s">
        <v>123</v>
      </c>
      <c r="I25" s="49"/>
      <c r="J25" s="50" t="s">
        <v>151</v>
      </c>
    </row>
    <row r="26" spans="2:10" ht="30" customHeight="1" x14ac:dyDescent="0.35">
      <c r="B26" s="44">
        <v>6</v>
      </c>
      <c r="C26" s="45" t="s">
        <v>140</v>
      </c>
      <c r="D26" s="46" t="s">
        <v>152</v>
      </c>
      <c r="E26" s="47" t="s">
        <v>153</v>
      </c>
      <c r="F26" s="48" t="s">
        <v>89</v>
      </c>
      <c r="G26" s="49">
        <v>46237</v>
      </c>
      <c r="H26" s="48" t="s">
        <v>122</v>
      </c>
      <c r="I26" s="49">
        <v>46238</v>
      </c>
      <c r="J26" s="50"/>
    </row>
    <row r="27" spans="2:10" ht="18.75" customHeight="1" x14ac:dyDescent="0.35">
      <c r="B27" s="116" t="s">
        <v>154</v>
      </c>
      <c r="C27" s="116"/>
      <c r="D27" s="116"/>
      <c r="E27" s="116"/>
      <c r="F27" s="116"/>
      <c r="G27" s="116"/>
      <c r="H27" s="116"/>
      <c r="I27" s="116"/>
      <c r="J27" s="116"/>
    </row>
    <row r="28" spans="2:10" ht="30" customHeight="1" x14ac:dyDescent="0.35">
      <c r="B28" s="44">
        <v>7</v>
      </c>
      <c r="C28" s="45" t="s">
        <v>92</v>
      </c>
      <c r="D28" s="46" t="s">
        <v>155</v>
      </c>
      <c r="E28" s="47" t="s">
        <v>156</v>
      </c>
      <c r="F28" s="48" t="s">
        <v>91</v>
      </c>
      <c r="G28" s="49">
        <v>46238</v>
      </c>
      <c r="H28" s="48" t="s">
        <v>122</v>
      </c>
      <c r="I28" s="49">
        <v>46237</v>
      </c>
      <c r="J28" s="50"/>
    </row>
    <row r="29" spans="2:10" ht="30" customHeight="1" x14ac:dyDescent="0.35">
      <c r="B29" s="44">
        <v>8</v>
      </c>
      <c r="C29" s="45" t="s">
        <v>92</v>
      </c>
      <c r="D29" s="46" t="s">
        <v>157</v>
      </c>
      <c r="E29" s="47" t="s">
        <v>158</v>
      </c>
      <c r="F29" s="48" t="s">
        <v>93</v>
      </c>
      <c r="G29" s="49">
        <v>46238</v>
      </c>
      <c r="H29" s="48" t="s">
        <v>122</v>
      </c>
      <c r="I29" s="49">
        <v>46238</v>
      </c>
      <c r="J29" s="50"/>
    </row>
    <row r="30" spans="2:10" ht="30" customHeight="1" x14ac:dyDescent="0.35">
      <c r="B30" s="44">
        <v>9</v>
      </c>
      <c r="C30" s="45" t="s">
        <v>92</v>
      </c>
      <c r="D30" s="46" t="s">
        <v>159</v>
      </c>
      <c r="E30" s="47" t="s">
        <v>160</v>
      </c>
      <c r="F30" s="48" t="s">
        <v>93</v>
      </c>
      <c r="G30" s="49">
        <v>46238</v>
      </c>
      <c r="H30" s="48" t="s">
        <v>122</v>
      </c>
      <c r="I30" s="49">
        <v>46238</v>
      </c>
      <c r="J30" s="50"/>
    </row>
    <row r="31" spans="2:10" ht="30" customHeight="1" x14ac:dyDescent="0.35">
      <c r="B31" s="44">
        <v>10</v>
      </c>
      <c r="C31" s="45" t="s">
        <v>92</v>
      </c>
      <c r="D31" s="46" t="s">
        <v>161</v>
      </c>
      <c r="E31" s="47" t="s">
        <v>162</v>
      </c>
      <c r="F31" s="48" t="s">
        <v>89</v>
      </c>
      <c r="G31" s="49">
        <v>46238</v>
      </c>
      <c r="H31" s="48" t="s">
        <v>122</v>
      </c>
      <c r="I31" s="49">
        <v>46239</v>
      </c>
      <c r="J31" s="50"/>
    </row>
    <row r="32" spans="2:10" ht="30" customHeight="1" x14ac:dyDescent="0.35">
      <c r="B32" s="44">
        <v>11</v>
      </c>
      <c r="C32" s="45" t="s">
        <v>92</v>
      </c>
      <c r="D32" s="46" t="s">
        <v>163</v>
      </c>
      <c r="E32" s="47" t="s">
        <v>164</v>
      </c>
      <c r="F32" s="48" t="s">
        <v>89</v>
      </c>
      <c r="G32" s="49">
        <v>46238</v>
      </c>
      <c r="H32" s="48" t="s">
        <v>122</v>
      </c>
      <c r="I32" s="49">
        <v>46239</v>
      </c>
      <c r="J32" s="50"/>
    </row>
    <row r="33" spans="2:10" ht="30" customHeight="1" x14ac:dyDescent="0.35">
      <c r="B33" s="44">
        <v>12</v>
      </c>
      <c r="C33" s="45" t="s">
        <v>92</v>
      </c>
      <c r="D33" s="46" t="s">
        <v>165</v>
      </c>
      <c r="E33" s="47" t="s">
        <v>166</v>
      </c>
      <c r="F33" s="48" t="s">
        <v>93</v>
      </c>
      <c r="G33" s="49">
        <v>46238</v>
      </c>
      <c r="H33" s="48" t="s">
        <v>167</v>
      </c>
      <c r="I33" s="49"/>
      <c r="J33" s="50" t="s">
        <v>168</v>
      </c>
    </row>
    <row r="34" spans="2:10" ht="18.75" customHeight="1" x14ac:dyDescent="0.35">
      <c r="B34" s="116" t="s">
        <v>169</v>
      </c>
      <c r="C34" s="116"/>
      <c r="D34" s="116"/>
      <c r="E34" s="116"/>
      <c r="F34" s="116"/>
      <c r="G34" s="116"/>
      <c r="H34" s="116"/>
      <c r="I34" s="116"/>
      <c r="J34" s="116"/>
    </row>
    <row r="35" spans="2:10" ht="30" customHeight="1" x14ac:dyDescent="0.35">
      <c r="B35" s="44">
        <v>13</v>
      </c>
      <c r="C35" s="45" t="s">
        <v>170</v>
      </c>
      <c r="D35" s="46" t="s">
        <v>171</v>
      </c>
      <c r="E35" s="47" t="s">
        <v>172</v>
      </c>
      <c r="F35" s="48" t="s">
        <v>91</v>
      </c>
      <c r="G35" s="49">
        <v>46239</v>
      </c>
      <c r="H35" s="48" t="s">
        <v>122</v>
      </c>
      <c r="I35" s="49">
        <v>46237</v>
      </c>
      <c r="J35" s="50"/>
    </row>
    <row r="36" spans="2:10" ht="30" customHeight="1" x14ac:dyDescent="0.35">
      <c r="B36" s="44">
        <v>14</v>
      </c>
      <c r="C36" s="45" t="s">
        <v>170</v>
      </c>
      <c r="D36" s="46" t="s">
        <v>173</v>
      </c>
      <c r="E36" s="47" t="s">
        <v>174</v>
      </c>
      <c r="F36" s="48" t="s">
        <v>95</v>
      </c>
      <c r="G36" s="49">
        <v>46239</v>
      </c>
      <c r="H36" s="48" t="s">
        <v>122</v>
      </c>
      <c r="I36" s="49">
        <v>46238</v>
      </c>
      <c r="J36" s="50"/>
    </row>
    <row r="37" spans="2:10" ht="30" customHeight="1" x14ac:dyDescent="0.35">
      <c r="B37" s="44">
        <v>15</v>
      </c>
      <c r="C37" s="45" t="s">
        <v>170</v>
      </c>
      <c r="D37" s="46" t="s">
        <v>175</v>
      </c>
      <c r="E37" s="47" t="s">
        <v>176</v>
      </c>
      <c r="F37" s="48" t="s">
        <v>95</v>
      </c>
      <c r="G37" s="49">
        <v>46239</v>
      </c>
      <c r="H37" s="48" t="s">
        <v>122</v>
      </c>
      <c r="I37" s="49">
        <v>46239</v>
      </c>
      <c r="J37" s="50"/>
    </row>
    <row r="38" spans="2:10" ht="30" customHeight="1" x14ac:dyDescent="0.35">
      <c r="B38" s="44">
        <v>16</v>
      </c>
      <c r="C38" s="45" t="s">
        <v>170</v>
      </c>
      <c r="D38" s="46" t="s">
        <v>177</v>
      </c>
      <c r="E38" s="47" t="s">
        <v>178</v>
      </c>
      <c r="F38" s="48" t="s">
        <v>91</v>
      </c>
      <c r="G38" s="49">
        <v>46239</v>
      </c>
      <c r="H38" s="48" t="s">
        <v>122</v>
      </c>
      <c r="I38" s="49">
        <v>46238</v>
      </c>
      <c r="J38" s="50"/>
    </row>
    <row r="39" spans="2:10" ht="30" customHeight="1" x14ac:dyDescent="0.35">
      <c r="B39" s="44">
        <v>17</v>
      </c>
      <c r="C39" s="45" t="s">
        <v>170</v>
      </c>
      <c r="D39" s="46" t="s">
        <v>179</v>
      </c>
      <c r="E39" s="47" t="s">
        <v>180</v>
      </c>
      <c r="F39" s="48" t="s">
        <v>89</v>
      </c>
      <c r="G39" s="49">
        <v>46239</v>
      </c>
      <c r="H39" s="48" t="s">
        <v>125</v>
      </c>
      <c r="I39" s="49"/>
      <c r="J39" s="50" t="s">
        <v>181</v>
      </c>
    </row>
    <row r="40" spans="2:10" ht="30" customHeight="1" x14ac:dyDescent="0.35">
      <c r="B40" s="44">
        <v>18</v>
      </c>
      <c r="C40" s="45" t="s">
        <v>170</v>
      </c>
      <c r="D40" s="46" t="s">
        <v>182</v>
      </c>
      <c r="E40" s="47" t="s">
        <v>183</v>
      </c>
      <c r="F40" s="48" t="s">
        <v>91</v>
      </c>
      <c r="G40" s="49">
        <v>46239</v>
      </c>
      <c r="H40" s="48" t="s">
        <v>122</v>
      </c>
      <c r="I40" s="49">
        <v>46239</v>
      </c>
      <c r="J40" s="50"/>
    </row>
    <row r="41" spans="2:10" ht="18.75" customHeight="1" x14ac:dyDescent="0.35">
      <c r="B41" s="116" t="s">
        <v>184</v>
      </c>
      <c r="C41" s="116"/>
      <c r="D41" s="116"/>
      <c r="E41" s="116"/>
      <c r="F41" s="116"/>
      <c r="G41" s="116"/>
      <c r="H41" s="116"/>
      <c r="I41" s="116"/>
      <c r="J41" s="116"/>
    </row>
    <row r="42" spans="2:10" ht="30" customHeight="1" x14ac:dyDescent="0.35">
      <c r="B42" s="44">
        <v>19</v>
      </c>
      <c r="C42" s="45" t="s">
        <v>185</v>
      </c>
      <c r="D42" s="46" t="s">
        <v>186</v>
      </c>
      <c r="E42" s="47" t="s">
        <v>187</v>
      </c>
      <c r="F42" s="48" t="s">
        <v>91</v>
      </c>
      <c r="G42" s="49">
        <v>46239</v>
      </c>
      <c r="H42" s="48" t="s">
        <v>122</v>
      </c>
      <c r="I42" s="49">
        <v>46237</v>
      </c>
      <c r="J42" s="50"/>
    </row>
    <row r="43" spans="2:10" ht="30" customHeight="1" x14ac:dyDescent="0.35">
      <c r="B43" s="44">
        <v>20</v>
      </c>
      <c r="C43" s="45" t="s">
        <v>185</v>
      </c>
      <c r="D43" s="46" t="s">
        <v>188</v>
      </c>
      <c r="E43" s="47" t="s">
        <v>189</v>
      </c>
      <c r="F43" s="48" t="s">
        <v>91</v>
      </c>
      <c r="G43" s="49">
        <v>46239</v>
      </c>
      <c r="H43" s="48" t="s">
        <v>122</v>
      </c>
      <c r="I43" s="49">
        <v>46238</v>
      </c>
      <c r="J43" s="50"/>
    </row>
    <row r="44" spans="2:10" ht="30" customHeight="1" x14ac:dyDescent="0.35">
      <c r="B44" s="44">
        <v>21</v>
      </c>
      <c r="C44" s="45" t="s">
        <v>185</v>
      </c>
      <c r="D44" s="46" t="s">
        <v>190</v>
      </c>
      <c r="E44" s="47" t="s">
        <v>191</v>
      </c>
      <c r="F44" s="48" t="s">
        <v>95</v>
      </c>
      <c r="G44" s="49">
        <v>46239</v>
      </c>
      <c r="H44" s="48" t="s">
        <v>122</v>
      </c>
      <c r="I44" s="49">
        <v>46238</v>
      </c>
      <c r="J44" s="50"/>
    </row>
    <row r="45" spans="2:10" ht="30" customHeight="1" x14ac:dyDescent="0.35">
      <c r="B45" s="44">
        <v>22</v>
      </c>
      <c r="C45" s="45" t="s">
        <v>185</v>
      </c>
      <c r="D45" s="46" t="s">
        <v>192</v>
      </c>
      <c r="E45" s="47" t="s">
        <v>193</v>
      </c>
      <c r="F45" s="48" t="s">
        <v>89</v>
      </c>
      <c r="G45" s="49">
        <v>46239</v>
      </c>
      <c r="H45" s="48" t="s">
        <v>122</v>
      </c>
      <c r="I45" s="49">
        <v>46239</v>
      </c>
      <c r="J45" s="50"/>
    </row>
    <row r="46" spans="2:10" ht="30" customHeight="1" x14ac:dyDescent="0.35">
      <c r="B46" s="44">
        <v>23</v>
      </c>
      <c r="C46" s="45" t="s">
        <v>185</v>
      </c>
      <c r="D46" s="46" t="s">
        <v>194</v>
      </c>
      <c r="E46" s="47" t="s">
        <v>195</v>
      </c>
      <c r="F46" s="48" t="s">
        <v>91</v>
      </c>
      <c r="G46" s="49">
        <v>46239</v>
      </c>
      <c r="H46" s="48" t="s">
        <v>122</v>
      </c>
      <c r="I46" s="49">
        <v>46238</v>
      </c>
      <c r="J46" s="50"/>
    </row>
    <row r="47" spans="2:10" ht="30" customHeight="1" x14ac:dyDescent="0.35">
      <c r="B47" s="44">
        <v>24</v>
      </c>
      <c r="C47" s="45" t="s">
        <v>185</v>
      </c>
      <c r="D47" s="46" t="s">
        <v>196</v>
      </c>
      <c r="E47" s="47" t="s">
        <v>197</v>
      </c>
      <c r="F47" s="48" t="s">
        <v>93</v>
      </c>
      <c r="G47" s="49">
        <v>46239</v>
      </c>
      <c r="H47" s="48" t="s">
        <v>123</v>
      </c>
      <c r="I47" s="49"/>
      <c r="J47" s="50" t="s">
        <v>198</v>
      </c>
    </row>
    <row r="48" spans="2:10" ht="30" customHeight="1" x14ac:dyDescent="0.35">
      <c r="B48" s="44">
        <v>25</v>
      </c>
      <c r="C48" s="45" t="s">
        <v>185</v>
      </c>
      <c r="D48" s="46" t="s">
        <v>199</v>
      </c>
      <c r="E48" s="47" t="s">
        <v>200</v>
      </c>
      <c r="F48" s="48" t="s">
        <v>95</v>
      </c>
      <c r="G48" s="49">
        <v>46239</v>
      </c>
      <c r="H48" s="48" t="s">
        <v>122</v>
      </c>
      <c r="I48" s="49">
        <v>46239</v>
      </c>
      <c r="J48" s="50"/>
    </row>
    <row r="49" spans="2:10" ht="18.75" customHeight="1" x14ac:dyDescent="0.35">
      <c r="B49" s="116" t="s">
        <v>201</v>
      </c>
      <c r="C49" s="116"/>
      <c r="D49" s="116"/>
      <c r="E49" s="116"/>
      <c r="F49" s="116"/>
      <c r="G49" s="116"/>
      <c r="H49" s="116"/>
      <c r="I49" s="116"/>
      <c r="J49" s="116"/>
    </row>
    <row r="50" spans="2:10" ht="30" customHeight="1" x14ac:dyDescent="0.35">
      <c r="B50" s="44">
        <v>26</v>
      </c>
      <c r="C50" s="45" t="s">
        <v>100</v>
      </c>
      <c r="D50" s="46" t="s">
        <v>202</v>
      </c>
      <c r="E50" s="47" t="s">
        <v>203</v>
      </c>
      <c r="F50" s="48" t="s">
        <v>91</v>
      </c>
      <c r="G50" s="49">
        <v>46238</v>
      </c>
      <c r="H50" s="48" t="s">
        <v>122</v>
      </c>
      <c r="I50" s="49">
        <v>46237</v>
      </c>
      <c r="J50" s="50"/>
    </row>
    <row r="51" spans="2:10" ht="30" customHeight="1" x14ac:dyDescent="0.35">
      <c r="B51" s="44">
        <v>27</v>
      </c>
      <c r="C51" s="45" t="s">
        <v>100</v>
      </c>
      <c r="D51" s="46" t="s">
        <v>204</v>
      </c>
      <c r="E51" s="47" t="s">
        <v>205</v>
      </c>
      <c r="F51" s="48" t="s">
        <v>91</v>
      </c>
      <c r="G51" s="49">
        <v>46238</v>
      </c>
      <c r="H51" s="48" t="s">
        <v>122</v>
      </c>
      <c r="I51" s="49">
        <v>46237</v>
      </c>
      <c r="J51" s="50"/>
    </row>
    <row r="52" spans="2:10" ht="30" customHeight="1" x14ac:dyDescent="0.35">
      <c r="B52" s="44">
        <v>28</v>
      </c>
      <c r="C52" s="45" t="s">
        <v>100</v>
      </c>
      <c r="D52" s="46" t="s">
        <v>206</v>
      </c>
      <c r="E52" s="47" t="s">
        <v>207</v>
      </c>
      <c r="F52" s="48" t="s">
        <v>93</v>
      </c>
      <c r="G52" s="49">
        <v>46238</v>
      </c>
      <c r="H52" s="48" t="s">
        <v>122</v>
      </c>
      <c r="I52" s="49">
        <v>46238</v>
      </c>
      <c r="J52" s="50"/>
    </row>
    <row r="53" spans="2:10" ht="30" customHeight="1" x14ac:dyDescent="0.35">
      <c r="B53" s="44">
        <v>29</v>
      </c>
      <c r="C53" s="45" t="s">
        <v>100</v>
      </c>
      <c r="D53" s="46" t="s">
        <v>208</v>
      </c>
      <c r="E53" s="47" t="s">
        <v>209</v>
      </c>
      <c r="F53" s="48" t="s">
        <v>93</v>
      </c>
      <c r="G53" s="49">
        <v>46238</v>
      </c>
      <c r="H53" s="48" t="s">
        <v>122</v>
      </c>
      <c r="I53" s="49">
        <v>46238</v>
      </c>
      <c r="J53" s="50"/>
    </row>
    <row r="54" spans="2:10" ht="30" customHeight="1" x14ac:dyDescent="0.35">
      <c r="B54" s="44">
        <v>30</v>
      </c>
      <c r="C54" s="45" t="s">
        <v>100</v>
      </c>
      <c r="D54" s="46" t="s">
        <v>210</v>
      </c>
      <c r="E54" s="47" t="s">
        <v>211</v>
      </c>
      <c r="F54" s="48" t="s">
        <v>93</v>
      </c>
      <c r="G54" s="49">
        <v>46238</v>
      </c>
      <c r="H54" s="48" t="s">
        <v>167</v>
      </c>
      <c r="I54" s="49"/>
      <c r="J54" s="50" t="s">
        <v>212</v>
      </c>
    </row>
    <row r="55" spans="2:10" ht="30" customHeight="1" x14ac:dyDescent="0.35">
      <c r="B55" s="44">
        <v>31</v>
      </c>
      <c r="C55" s="45" t="s">
        <v>100</v>
      </c>
      <c r="D55" s="46" t="s">
        <v>213</v>
      </c>
      <c r="E55" s="47" t="s">
        <v>214</v>
      </c>
      <c r="F55" s="48" t="s">
        <v>89</v>
      </c>
      <c r="G55" s="49">
        <v>46238</v>
      </c>
      <c r="H55" s="48" t="s">
        <v>122</v>
      </c>
      <c r="I55" s="49">
        <v>46239</v>
      </c>
      <c r="J55" s="50"/>
    </row>
    <row r="56" spans="2:10" ht="18.75" customHeight="1" x14ac:dyDescent="0.35">
      <c r="B56" s="116" t="s">
        <v>215</v>
      </c>
      <c r="C56" s="116"/>
      <c r="D56" s="116"/>
      <c r="E56" s="116"/>
      <c r="F56" s="116"/>
      <c r="G56" s="116"/>
      <c r="H56" s="116"/>
      <c r="I56" s="116"/>
      <c r="J56" s="116"/>
    </row>
    <row r="57" spans="2:10" ht="30" customHeight="1" x14ac:dyDescent="0.35">
      <c r="B57" s="44">
        <v>32</v>
      </c>
      <c r="C57" s="45" t="s">
        <v>216</v>
      </c>
      <c r="D57" s="46" t="s">
        <v>217</v>
      </c>
      <c r="E57" s="47" t="s">
        <v>218</v>
      </c>
      <c r="F57" s="48" t="s">
        <v>91</v>
      </c>
      <c r="G57" s="49">
        <v>46240</v>
      </c>
      <c r="H57" s="48" t="s">
        <v>122</v>
      </c>
      <c r="I57" s="49">
        <v>46238</v>
      </c>
      <c r="J57" s="50"/>
    </row>
    <row r="58" spans="2:10" ht="30" customHeight="1" x14ac:dyDescent="0.35">
      <c r="B58" s="44">
        <v>33</v>
      </c>
      <c r="C58" s="45" t="s">
        <v>216</v>
      </c>
      <c r="D58" s="46" t="s">
        <v>219</v>
      </c>
      <c r="E58" s="47" t="s">
        <v>220</v>
      </c>
      <c r="F58" s="48" t="s">
        <v>91</v>
      </c>
      <c r="G58" s="49">
        <v>46240</v>
      </c>
      <c r="H58" s="48" t="s">
        <v>122</v>
      </c>
      <c r="I58" s="49">
        <v>46238</v>
      </c>
      <c r="J58" s="50"/>
    </row>
    <row r="59" spans="2:10" ht="30" customHeight="1" x14ac:dyDescent="0.35">
      <c r="B59" s="44">
        <v>34</v>
      </c>
      <c r="C59" s="45" t="s">
        <v>216</v>
      </c>
      <c r="D59" s="46" t="s">
        <v>221</v>
      </c>
      <c r="E59" s="47" t="s">
        <v>222</v>
      </c>
      <c r="F59" s="48" t="s">
        <v>93</v>
      </c>
      <c r="G59" s="49">
        <v>46240</v>
      </c>
      <c r="H59" s="48" t="s">
        <v>122</v>
      </c>
      <c r="I59" s="49">
        <v>46239</v>
      </c>
      <c r="J59" s="50"/>
    </row>
    <row r="60" spans="2:10" ht="30" customHeight="1" x14ac:dyDescent="0.35">
      <c r="B60" s="44">
        <v>35</v>
      </c>
      <c r="C60" s="45" t="s">
        <v>216</v>
      </c>
      <c r="D60" s="46" t="s">
        <v>223</v>
      </c>
      <c r="E60" s="47" t="s">
        <v>224</v>
      </c>
      <c r="F60" s="48" t="s">
        <v>93</v>
      </c>
      <c r="G60" s="49">
        <v>46240</v>
      </c>
      <c r="H60" s="48" t="s">
        <v>122</v>
      </c>
      <c r="I60" s="49">
        <v>46240</v>
      </c>
      <c r="J60" s="50"/>
    </row>
    <row r="61" spans="2:10" ht="30" customHeight="1" x14ac:dyDescent="0.35">
      <c r="B61" s="44">
        <v>36</v>
      </c>
      <c r="C61" s="45" t="s">
        <v>216</v>
      </c>
      <c r="D61" s="46" t="s">
        <v>225</v>
      </c>
      <c r="E61" s="47" t="s">
        <v>226</v>
      </c>
      <c r="F61" s="48" t="s">
        <v>93</v>
      </c>
      <c r="G61" s="49">
        <v>46240</v>
      </c>
      <c r="H61" s="48" t="s">
        <v>167</v>
      </c>
      <c r="I61" s="49"/>
      <c r="J61" s="50" t="s">
        <v>227</v>
      </c>
    </row>
    <row r="62" spans="2:10" ht="18.75" customHeight="1" x14ac:dyDescent="0.35">
      <c r="B62" s="116" t="s">
        <v>228</v>
      </c>
      <c r="C62" s="116"/>
      <c r="D62" s="116"/>
      <c r="E62" s="116"/>
      <c r="F62" s="116"/>
      <c r="G62" s="116"/>
      <c r="H62" s="116"/>
      <c r="I62" s="116"/>
      <c r="J62" s="116"/>
    </row>
    <row r="63" spans="2:10" ht="30" customHeight="1" x14ac:dyDescent="0.35">
      <c r="B63" s="44">
        <v>37</v>
      </c>
      <c r="C63" s="45" t="s">
        <v>229</v>
      </c>
      <c r="D63" s="46" t="s">
        <v>230</v>
      </c>
      <c r="E63" s="47" t="s">
        <v>231</v>
      </c>
      <c r="F63" s="48" t="s">
        <v>93</v>
      </c>
      <c r="G63" s="49">
        <v>46240</v>
      </c>
      <c r="H63" s="48" t="s">
        <v>122</v>
      </c>
      <c r="I63" s="49">
        <v>46239</v>
      </c>
      <c r="J63" s="50"/>
    </row>
    <row r="64" spans="2:10" ht="30" customHeight="1" x14ac:dyDescent="0.35">
      <c r="B64" s="44">
        <v>38</v>
      </c>
      <c r="C64" s="45" t="s">
        <v>229</v>
      </c>
      <c r="D64" s="46" t="s">
        <v>232</v>
      </c>
      <c r="E64" s="47" t="s">
        <v>233</v>
      </c>
      <c r="F64" s="48" t="s">
        <v>93</v>
      </c>
      <c r="G64" s="49">
        <v>46240</v>
      </c>
      <c r="H64" s="48" t="s">
        <v>167</v>
      </c>
      <c r="I64" s="49"/>
      <c r="J64" s="50" t="s">
        <v>234</v>
      </c>
    </row>
    <row r="65" spans="2:10" ht="30" customHeight="1" x14ac:dyDescent="0.35">
      <c r="B65" s="44">
        <v>39</v>
      </c>
      <c r="C65" s="45" t="s">
        <v>229</v>
      </c>
      <c r="D65" s="46" t="s">
        <v>235</v>
      </c>
      <c r="E65" s="47" t="s">
        <v>236</v>
      </c>
      <c r="F65" s="48" t="s">
        <v>91</v>
      </c>
      <c r="G65" s="49">
        <v>46240</v>
      </c>
      <c r="H65" s="48" t="s">
        <v>122</v>
      </c>
      <c r="I65" s="49">
        <v>46239</v>
      </c>
      <c r="J65" s="50"/>
    </row>
    <row r="66" spans="2:10" ht="30" customHeight="1" x14ac:dyDescent="0.35">
      <c r="B66" s="44">
        <v>40</v>
      </c>
      <c r="C66" s="45" t="s">
        <v>229</v>
      </c>
      <c r="D66" s="46" t="s">
        <v>237</v>
      </c>
      <c r="E66" s="47" t="s">
        <v>238</v>
      </c>
      <c r="F66" s="48" t="s">
        <v>93</v>
      </c>
      <c r="G66" s="49">
        <v>46240</v>
      </c>
      <c r="H66" s="48" t="s">
        <v>167</v>
      </c>
      <c r="I66" s="49"/>
      <c r="J66" s="50" t="s">
        <v>239</v>
      </c>
    </row>
    <row r="67" spans="2:10" ht="30" customHeight="1" x14ac:dyDescent="0.35">
      <c r="B67" s="44">
        <v>41</v>
      </c>
      <c r="C67" s="45" t="s">
        <v>229</v>
      </c>
      <c r="D67" s="46" t="s">
        <v>240</v>
      </c>
      <c r="E67" s="47" t="s">
        <v>241</v>
      </c>
      <c r="F67" s="48" t="s">
        <v>91</v>
      </c>
      <c r="G67" s="49">
        <v>46240</v>
      </c>
      <c r="H67" s="48" t="s">
        <v>122</v>
      </c>
      <c r="I67" s="49">
        <v>46239</v>
      </c>
      <c r="J67" s="50"/>
    </row>
    <row r="68" spans="2:10" ht="30" customHeight="1" x14ac:dyDescent="0.35">
      <c r="B68" s="44">
        <v>42</v>
      </c>
      <c r="C68" s="45" t="s">
        <v>229</v>
      </c>
      <c r="D68" s="46" t="s">
        <v>242</v>
      </c>
      <c r="E68" s="47" t="s">
        <v>243</v>
      </c>
      <c r="F68" s="48" t="s">
        <v>89</v>
      </c>
      <c r="G68" s="49">
        <v>46240</v>
      </c>
      <c r="H68" s="48" t="s">
        <v>122</v>
      </c>
      <c r="I68" s="49">
        <v>46240</v>
      </c>
      <c r="J68" s="50"/>
    </row>
    <row r="69" spans="2:10" ht="30" customHeight="1" x14ac:dyDescent="0.35">
      <c r="B69" s="44">
        <v>43</v>
      </c>
      <c r="C69" s="45" t="s">
        <v>229</v>
      </c>
      <c r="D69" s="46" t="s">
        <v>244</v>
      </c>
      <c r="E69" s="47" t="s">
        <v>245</v>
      </c>
      <c r="F69" s="48" t="s">
        <v>93</v>
      </c>
      <c r="G69" s="49">
        <v>46240</v>
      </c>
      <c r="H69" s="48" t="s">
        <v>167</v>
      </c>
      <c r="I69" s="49"/>
      <c r="J69" s="50" t="s">
        <v>246</v>
      </c>
    </row>
    <row r="70" spans="2:10" ht="18.75" customHeight="1" x14ac:dyDescent="0.35">
      <c r="B70" s="116" t="s">
        <v>247</v>
      </c>
      <c r="C70" s="116"/>
      <c r="D70" s="116"/>
      <c r="E70" s="116"/>
      <c r="F70" s="116"/>
      <c r="G70" s="116"/>
      <c r="H70" s="116"/>
      <c r="I70" s="116"/>
      <c r="J70" s="116"/>
    </row>
    <row r="71" spans="2:10" ht="30" customHeight="1" x14ac:dyDescent="0.35">
      <c r="B71" s="44">
        <v>44</v>
      </c>
      <c r="C71" s="45" t="s">
        <v>103</v>
      </c>
      <c r="D71" s="46" t="s">
        <v>248</v>
      </c>
      <c r="E71" s="47" t="s">
        <v>249</v>
      </c>
      <c r="F71" s="48" t="s">
        <v>93</v>
      </c>
      <c r="G71" s="49">
        <v>46241</v>
      </c>
      <c r="H71" s="48" t="s">
        <v>122</v>
      </c>
      <c r="I71" s="49">
        <v>46240</v>
      </c>
      <c r="J71" s="50"/>
    </row>
    <row r="72" spans="2:10" ht="30" customHeight="1" x14ac:dyDescent="0.35">
      <c r="B72" s="44">
        <v>45</v>
      </c>
      <c r="C72" s="45" t="s">
        <v>103</v>
      </c>
      <c r="D72" s="46" t="s">
        <v>250</v>
      </c>
      <c r="E72" s="47" t="s">
        <v>251</v>
      </c>
      <c r="F72" s="48" t="s">
        <v>93</v>
      </c>
      <c r="G72" s="49">
        <v>46241</v>
      </c>
      <c r="H72" s="48" t="s">
        <v>122</v>
      </c>
      <c r="I72" s="49">
        <v>46240</v>
      </c>
      <c r="J72" s="50"/>
    </row>
    <row r="73" spans="2:10" ht="30" customHeight="1" x14ac:dyDescent="0.35">
      <c r="B73" s="44">
        <v>46</v>
      </c>
      <c r="C73" s="45" t="s">
        <v>103</v>
      </c>
      <c r="D73" s="46" t="s">
        <v>252</v>
      </c>
      <c r="E73" s="47" t="s">
        <v>253</v>
      </c>
      <c r="F73" s="48" t="s">
        <v>93</v>
      </c>
      <c r="G73" s="49">
        <v>46241</v>
      </c>
      <c r="H73" s="48" t="s">
        <v>122</v>
      </c>
      <c r="I73" s="49">
        <v>46240</v>
      </c>
      <c r="J73" s="50"/>
    </row>
    <row r="74" spans="2:10" ht="30" customHeight="1" x14ac:dyDescent="0.35">
      <c r="B74" s="44">
        <v>47</v>
      </c>
      <c r="C74" s="45" t="s">
        <v>103</v>
      </c>
      <c r="D74" s="46" t="s">
        <v>254</v>
      </c>
      <c r="E74" s="47" t="s">
        <v>255</v>
      </c>
      <c r="F74" s="48" t="s">
        <v>93</v>
      </c>
      <c r="G74" s="49">
        <v>46241</v>
      </c>
      <c r="H74" s="48" t="s">
        <v>122</v>
      </c>
      <c r="I74" s="49">
        <v>46240</v>
      </c>
      <c r="J74" s="50"/>
    </row>
    <row r="75" spans="2:10" ht="30" customHeight="1" x14ac:dyDescent="0.35">
      <c r="B75" s="44">
        <v>48</v>
      </c>
      <c r="C75" s="45" t="s">
        <v>103</v>
      </c>
      <c r="D75" s="46" t="s">
        <v>256</v>
      </c>
      <c r="E75" s="47" t="s">
        <v>257</v>
      </c>
      <c r="F75" s="48" t="s">
        <v>93</v>
      </c>
      <c r="G75" s="49">
        <v>46241</v>
      </c>
      <c r="H75" s="48" t="s">
        <v>123</v>
      </c>
      <c r="I75" s="49"/>
      <c r="J75" s="50" t="s">
        <v>258</v>
      </c>
    </row>
    <row r="76" spans="2:10" ht="30" customHeight="1" x14ac:dyDescent="0.35">
      <c r="B76" s="44">
        <v>49</v>
      </c>
      <c r="C76" s="45" t="s">
        <v>103</v>
      </c>
      <c r="D76" s="46" t="s">
        <v>259</v>
      </c>
      <c r="E76" s="47" t="s">
        <v>260</v>
      </c>
      <c r="F76" s="48" t="s">
        <v>93</v>
      </c>
      <c r="G76" s="49">
        <v>46241</v>
      </c>
      <c r="H76" s="48" t="s">
        <v>122</v>
      </c>
      <c r="I76" s="49">
        <v>46241</v>
      </c>
      <c r="J76" s="50"/>
    </row>
    <row r="77" spans="2:10" ht="30" customHeight="1" x14ac:dyDescent="0.35">
      <c r="B77" s="44">
        <v>50</v>
      </c>
      <c r="C77" s="45" t="s">
        <v>103</v>
      </c>
      <c r="D77" s="46" t="s">
        <v>261</v>
      </c>
      <c r="E77" s="47" t="s">
        <v>262</v>
      </c>
      <c r="F77" s="48" t="s">
        <v>91</v>
      </c>
      <c r="G77" s="49">
        <v>46241</v>
      </c>
      <c r="H77" s="48" t="s">
        <v>167</v>
      </c>
      <c r="I77" s="49"/>
      <c r="J77" s="50" t="s">
        <v>263</v>
      </c>
    </row>
    <row r="78" spans="2:10" ht="30" customHeight="1" x14ac:dyDescent="0.35">
      <c r="B78" s="44">
        <v>51</v>
      </c>
      <c r="C78" s="45" t="s">
        <v>103</v>
      </c>
      <c r="D78" s="46" t="s">
        <v>264</v>
      </c>
      <c r="E78" s="47" t="s">
        <v>265</v>
      </c>
      <c r="F78" s="48" t="s">
        <v>93</v>
      </c>
      <c r="G78" s="49">
        <v>46241</v>
      </c>
      <c r="H78" s="48" t="s">
        <v>167</v>
      </c>
      <c r="I78" s="49"/>
      <c r="J78" s="50" t="s">
        <v>266</v>
      </c>
    </row>
    <row r="79" spans="2:10" ht="30" customHeight="1" x14ac:dyDescent="0.35">
      <c r="B79" s="44">
        <v>52</v>
      </c>
      <c r="C79" s="45" t="s">
        <v>103</v>
      </c>
      <c r="D79" s="46" t="s">
        <v>267</v>
      </c>
      <c r="E79" s="47" t="s">
        <v>268</v>
      </c>
      <c r="F79" s="48" t="s">
        <v>93</v>
      </c>
      <c r="G79" s="49">
        <v>46241</v>
      </c>
      <c r="H79" s="48" t="s">
        <v>122</v>
      </c>
      <c r="I79" s="49">
        <v>46241</v>
      </c>
      <c r="J79" s="50"/>
    </row>
    <row r="80" spans="2:10" ht="30" customHeight="1" x14ac:dyDescent="0.35">
      <c r="B80" s="44">
        <v>53</v>
      </c>
      <c r="C80" s="45" t="s">
        <v>103</v>
      </c>
      <c r="D80" s="46" t="s">
        <v>269</v>
      </c>
      <c r="E80" s="47" t="s">
        <v>270</v>
      </c>
      <c r="F80" s="48" t="s">
        <v>91</v>
      </c>
      <c r="G80" s="49">
        <v>46241</v>
      </c>
      <c r="H80" s="48" t="s">
        <v>122</v>
      </c>
      <c r="I80" s="49">
        <v>46241</v>
      </c>
      <c r="J80" s="50"/>
    </row>
    <row r="81" spans="2:10" ht="18.75" customHeight="1" x14ac:dyDescent="0.35">
      <c r="B81" s="116" t="s">
        <v>271</v>
      </c>
      <c r="C81" s="116"/>
      <c r="D81" s="116"/>
      <c r="E81" s="116"/>
      <c r="F81" s="116"/>
      <c r="G81" s="116"/>
      <c r="H81" s="116"/>
      <c r="I81" s="116"/>
      <c r="J81" s="116"/>
    </row>
    <row r="82" spans="2:10" ht="30" customHeight="1" x14ac:dyDescent="0.35">
      <c r="B82" s="44">
        <v>54</v>
      </c>
      <c r="C82" s="45" t="s">
        <v>272</v>
      </c>
      <c r="D82" s="46" t="s">
        <v>273</v>
      </c>
      <c r="E82" s="47" t="s">
        <v>274</v>
      </c>
      <c r="F82" s="48" t="s">
        <v>91</v>
      </c>
      <c r="G82" s="49">
        <v>46242</v>
      </c>
      <c r="H82" s="48" t="s">
        <v>122</v>
      </c>
      <c r="I82" s="49">
        <v>46241</v>
      </c>
      <c r="J82" s="50"/>
    </row>
    <row r="83" spans="2:10" ht="30" customHeight="1" x14ac:dyDescent="0.35">
      <c r="B83" s="44">
        <v>55</v>
      </c>
      <c r="C83" s="45" t="s">
        <v>272</v>
      </c>
      <c r="D83" s="46" t="s">
        <v>275</v>
      </c>
      <c r="E83" s="47" t="s">
        <v>276</v>
      </c>
      <c r="F83" s="48" t="s">
        <v>91</v>
      </c>
      <c r="G83" s="49">
        <v>46242</v>
      </c>
      <c r="H83" s="48" t="s">
        <v>122</v>
      </c>
      <c r="I83" s="49">
        <v>46241</v>
      </c>
      <c r="J83" s="50"/>
    </row>
    <row r="84" spans="2:10" ht="30" customHeight="1" x14ac:dyDescent="0.35">
      <c r="B84" s="44">
        <v>56</v>
      </c>
      <c r="C84" s="45" t="s">
        <v>272</v>
      </c>
      <c r="D84" s="46" t="s">
        <v>277</v>
      </c>
      <c r="E84" s="47" t="s">
        <v>278</v>
      </c>
      <c r="F84" s="48" t="s">
        <v>93</v>
      </c>
      <c r="G84" s="49">
        <v>46242</v>
      </c>
      <c r="H84" s="48" t="s">
        <v>167</v>
      </c>
      <c r="I84" s="49"/>
      <c r="J84" s="50" t="s">
        <v>279</v>
      </c>
    </row>
    <row r="85" spans="2:10" ht="30" customHeight="1" x14ac:dyDescent="0.35">
      <c r="B85" s="44">
        <v>57</v>
      </c>
      <c r="C85" s="45" t="s">
        <v>272</v>
      </c>
      <c r="D85" s="46" t="s">
        <v>280</v>
      </c>
      <c r="E85" s="47" t="s">
        <v>281</v>
      </c>
      <c r="F85" s="48" t="s">
        <v>89</v>
      </c>
      <c r="G85" s="49">
        <v>46242</v>
      </c>
      <c r="H85" s="48" t="s">
        <v>122</v>
      </c>
      <c r="I85" s="49">
        <v>46242</v>
      </c>
      <c r="J85" s="50"/>
    </row>
    <row r="86" spans="2:10" ht="30" customHeight="1" x14ac:dyDescent="0.35">
      <c r="B86" s="44">
        <v>58</v>
      </c>
      <c r="C86" s="45" t="s">
        <v>272</v>
      </c>
      <c r="D86" s="46" t="s">
        <v>282</v>
      </c>
      <c r="E86" s="47" t="s">
        <v>283</v>
      </c>
      <c r="F86" s="48" t="s">
        <v>89</v>
      </c>
      <c r="G86" s="49">
        <v>46242</v>
      </c>
      <c r="H86" s="48" t="s">
        <v>122</v>
      </c>
      <c r="I86" s="49">
        <v>46242</v>
      </c>
      <c r="J86" s="50"/>
    </row>
    <row r="87" spans="2:10" ht="30" customHeight="1" x14ac:dyDescent="0.35">
      <c r="B87" s="44">
        <v>59</v>
      </c>
      <c r="C87" s="45" t="s">
        <v>272</v>
      </c>
      <c r="D87" s="46" t="s">
        <v>284</v>
      </c>
      <c r="E87" s="47" t="s">
        <v>285</v>
      </c>
      <c r="F87" s="48" t="s">
        <v>89</v>
      </c>
      <c r="G87" s="49">
        <v>46242</v>
      </c>
      <c r="H87" s="48" t="s">
        <v>122</v>
      </c>
      <c r="I87" s="49">
        <v>46242</v>
      </c>
      <c r="J87" s="50"/>
    </row>
    <row r="88" spans="2:10" ht="30" customHeight="1" x14ac:dyDescent="0.35">
      <c r="B88" s="44">
        <v>60</v>
      </c>
      <c r="C88" s="45" t="s">
        <v>272</v>
      </c>
      <c r="D88" s="46" t="s">
        <v>286</v>
      </c>
      <c r="E88" s="47" t="s">
        <v>287</v>
      </c>
      <c r="F88" s="48" t="s">
        <v>89</v>
      </c>
      <c r="G88" s="49">
        <v>46242</v>
      </c>
      <c r="H88" s="48" t="s">
        <v>122</v>
      </c>
      <c r="I88" s="49">
        <v>46242</v>
      </c>
      <c r="J88" s="50"/>
    </row>
    <row r="89" spans="2:10" ht="30" customHeight="1" x14ac:dyDescent="0.35">
      <c r="B89" s="44">
        <v>61</v>
      </c>
      <c r="C89" s="45" t="s">
        <v>272</v>
      </c>
      <c r="D89" s="46" t="s">
        <v>288</v>
      </c>
      <c r="E89" s="47" t="s">
        <v>289</v>
      </c>
      <c r="F89" s="48" t="s">
        <v>89</v>
      </c>
      <c r="G89" s="49">
        <v>46242</v>
      </c>
      <c r="H89" s="48" t="s">
        <v>126</v>
      </c>
      <c r="I89" s="49"/>
      <c r="J89" s="50"/>
    </row>
    <row r="90" spans="2:10" ht="30" customHeight="1" x14ac:dyDescent="0.35">
      <c r="B90" s="44">
        <v>62</v>
      </c>
      <c r="C90" s="45" t="s">
        <v>272</v>
      </c>
      <c r="D90" s="46" t="s">
        <v>290</v>
      </c>
      <c r="E90" s="47" t="s">
        <v>291</v>
      </c>
      <c r="F90" s="48" t="s">
        <v>93</v>
      </c>
      <c r="G90" s="49">
        <v>46242</v>
      </c>
      <c r="H90" s="48" t="s">
        <v>126</v>
      </c>
      <c r="I90" s="49"/>
      <c r="J90" s="50"/>
    </row>
    <row r="92" spans="2:10" ht="18" customHeight="1" x14ac:dyDescent="0.35">
      <c r="B92" s="108" t="s">
        <v>292</v>
      </c>
      <c r="C92" s="108"/>
      <c r="D92" s="108"/>
      <c r="E92" s="108"/>
      <c r="F92" s="108"/>
      <c r="G92" s="108"/>
      <c r="H92" s="108"/>
      <c r="I92" s="108"/>
      <c r="J92" s="108"/>
    </row>
  </sheetData>
  <sheetProtection sheet="1" formatCells="0" sort="0" autoFilter="0"/>
  <mergeCells count="18">
    <mergeCell ref="B70:J70"/>
    <mergeCell ref="B81:J81"/>
    <mergeCell ref="B92:J92"/>
    <mergeCell ref="B34:J34"/>
    <mergeCell ref="B41:J41"/>
    <mergeCell ref="B49:J49"/>
    <mergeCell ref="B56:J56"/>
    <mergeCell ref="B62:J62"/>
    <mergeCell ref="E6:J8"/>
    <mergeCell ref="E10:J11"/>
    <mergeCell ref="B18:J18"/>
    <mergeCell ref="B20:J20"/>
    <mergeCell ref="B27:J27"/>
    <mergeCell ref="A1:K1"/>
    <mergeCell ref="A2:E2"/>
    <mergeCell ref="F2:K2"/>
    <mergeCell ref="A3:K3"/>
    <mergeCell ref="C5:D5"/>
  </mergeCells>
  <conditionalFormatting sqref="H21:H90">
    <cfRule type="expression" dxfId="13" priority="2">
      <formula>$H21="Complete"</formula>
    </cfRule>
    <cfRule type="expression" dxfId="12" priority="3">
      <formula>$H21="N/A"</formula>
    </cfRule>
    <cfRule type="expression" dxfId="11" priority="4">
      <formula>$H21="Needs Review"</formula>
    </cfRule>
    <cfRule type="expression" dxfId="10" priority="5">
      <formula>$H21="In Progress"</formula>
    </cfRule>
    <cfRule type="expression" dxfId="9" priority="6">
      <formula>$H21="Not Started"</formula>
    </cfRule>
  </conditionalFormatting>
  <dataValidations count="3">
    <dataValidation type="list" allowBlank="1" showErrorMessage="1" errorTitle="Owner" error="Choose an entry from the Responsibility Options on the CLOSE SETUP tab." sqref="F21:F90" xr:uid="{00000000-0002-0000-0200-000000000000}">
      <formula1>OwnerList</formula1>
      <formula2>0</formula2>
    </dataValidation>
    <dataValidation type="list" allowBlank="1" showErrorMessage="1" errorTitle="Status" error="Choose Not Started, In Progress, Complete, N/A or Needs Review." sqref="H21:H90" xr:uid="{00000000-0002-0000-0200-000001000000}">
      <formula1>"Not Started,In Progress,Complete,N/A,Needs Review"</formula1>
      <formula2>0</formula2>
    </dataValidation>
    <dataValidation type="date" showErrorMessage="1" errorTitle="Date" error="Enter a valid date." sqref="G21:G90 I21:I90" xr:uid="{00000000-0002-0000-0200-000002000000}">
      <formula1>DATE(2020,1,1)</formula1>
      <formula2>DATE(2060,12,31)</formula2>
    </dataValidation>
  </dataValidation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5"/>
  <sheetViews>
    <sheetView showGridLines="0" zoomScaleNormal="100" workbookViewId="0">
      <pane ySplit="4" topLeftCell="A56" activePane="bottomLeft" state="frozen"/>
      <selection pane="bottomLeft" activeCell="C12" sqref="C12"/>
    </sheetView>
  </sheetViews>
  <sheetFormatPr defaultColWidth="8.6328125" defaultRowHeight="14.5" x14ac:dyDescent="0.35"/>
  <cols>
    <col min="1" max="1" width="3" customWidth="1"/>
    <col min="2" max="2" width="54" customWidth="1"/>
    <col min="3" max="7" width="16" customWidth="1"/>
    <col min="8" max="8" width="3" customWidth="1"/>
  </cols>
  <sheetData>
    <row r="1" spans="1:8" ht="7.5" customHeight="1" x14ac:dyDescent="0.35">
      <c r="A1" s="15"/>
      <c r="B1" s="15"/>
      <c r="C1" s="15"/>
      <c r="D1" s="15"/>
      <c r="E1" s="15"/>
      <c r="F1" s="15"/>
      <c r="G1" s="15"/>
      <c r="H1" s="15"/>
    </row>
    <row r="2" spans="1:8" ht="27.75" customHeight="1" x14ac:dyDescent="0.35">
      <c r="A2" s="15"/>
      <c r="B2" s="97" t="s">
        <v>293</v>
      </c>
      <c r="C2" s="97"/>
      <c r="D2" s="97"/>
      <c r="E2" s="97"/>
      <c r="F2" s="97"/>
      <c r="G2" s="97"/>
      <c r="H2" s="15"/>
    </row>
    <row r="3" spans="1:8" ht="18" customHeight="1" x14ac:dyDescent="0.35">
      <c r="A3" s="15"/>
      <c r="B3" s="98" t="s">
        <v>294</v>
      </c>
      <c r="C3" s="98"/>
      <c r="D3" s="98"/>
      <c r="E3" s="98"/>
      <c r="F3" s="98"/>
      <c r="G3" s="98"/>
      <c r="H3" s="15"/>
    </row>
    <row r="4" spans="1:8" ht="7.5" customHeight="1" x14ac:dyDescent="0.35">
      <c r="A4" s="15"/>
      <c r="B4" s="15"/>
      <c r="C4" s="15"/>
      <c r="D4" s="15"/>
      <c r="E4" s="15"/>
      <c r="F4" s="15"/>
      <c r="G4" s="15"/>
      <c r="H4" s="15"/>
    </row>
    <row r="5" spans="1:8" ht="9.75" customHeight="1" x14ac:dyDescent="0.35"/>
    <row r="6" spans="1:8" ht="19.5" customHeight="1" x14ac:dyDescent="0.35">
      <c r="B6" s="99" t="s">
        <v>295</v>
      </c>
      <c r="C6" s="99"/>
    </row>
    <row r="7" spans="1:8" ht="21.75" customHeight="1" x14ac:dyDescent="0.35">
      <c r="B7" s="29" t="s">
        <v>296</v>
      </c>
      <c r="C7" s="51" t="s">
        <v>123</v>
      </c>
      <c r="D7" s="117" t="s">
        <v>297</v>
      </c>
      <c r="E7" s="117"/>
      <c r="F7" s="117"/>
      <c r="G7" s="117"/>
    </row>
    <row r="8" spans="1:8" ht="21.75" customHeight="1" x14ac:dyDescent="0.35">
      <c r="B8" s="33" t="s">
        <v>298</v>
      </c>
      <c r="C8" s="52" t="str">
        <f>IF(C7="Complete","Yes","No")</f>
        <v>No</v>
      </c>
      <c r="D8" s="117"/>
      <c r="E8" s="117"/>
      <c r="F8" s="117"/>
      <c r="G8" s="117"/>
    </row>
    <row r="9" spans="1:8" ht="12" customHeight="1" x14ac:dyDescent="0.35"/>
    <row r="10" spans="1:8" ht="19.5" customHeight="1" x14ac:dyDescent="0.35">
      <c r="B10" s="99" t="s">
        <v>299</v>
      </c>
      <c r="C10" s="99"/>
      <c r="D10" s="99"/>
      <c r="E10" s="99"/>
      <c r="F10" s="99"/>
      <c r="G10" s="99"/>
    </row>
    <row r="11" spans="1:8" ht="18" customHeight="1" x14ac:dyDescent="0.35">
      <c r="B11" s="26" t="s">
        <v>300</v>
      </c>
      <c r="C11" s="27" t="s">
        <v>301</v>
      </c>
      <c r="D11" s="27" t="s">
        <v>302</v>
      </c>
      <c r="E11" s="27" t="s">
        <v>303</v>
      </c>
      <c r="F11" s="27" t="s">
        <v>304</v>
      </c>
      <c r="G11" s="27" t="s">
        <v>305</v>
      </c>
    </row>
    <row r="12" spans="1:8" ht="19.5" customHeight="1" x14ac:dyDescent="0.35">
      <c r="B12" s="53" t="s">
        <v>92</v>
      </c>
      <c r="C12" s="54">
        <v>158000</v>
      </c>
      <c r="D12" s="54">
        <v>149000</v>
      </c>
      <c r="E12" s="54">
        <v>155000</v>
      </c>
      <c r="F12" s="55">
        <f>IFERROR(C12-D12,0)</f>
        <v>9000</v>
      </c>
      <c r="G12" s="55">
        <f>IFERROR(C12-E12,0)</f>
        <v>3000</v>
      </c>
    </row>
    <row r="13" spans="1:8" ht="19.5" customHeight="1" x14ac:dyDescent="0.35">
      <c r="B13" s="53" t="s">
        <v>306</v>
      </c>
      <c r="C13" s="54">
        <v>82000</v>
      </c>
      <c r="D13" s="54">
        <v>79500</v>
      </c>
      <c r="E13" s="54">
        <v>81000</v>
      </c>
      <c r="F13" s="55">
        <f>IFERROR(C13-D13,0)</f>
        <v>2500</v>
      </c>
      <c r="G13" s="55">
        <f>IFERROR(C13-E13,0)</f>
        <v>1000</v>
      </c>
    </row>
    <row r="14" spans="1:8" ht="19.5" customHeight="1" x14ac:dyDescent="0.35">
      <c r="B14" s="56" t="s">
        <v>307</v>
      </c>
      <c r="C14" s="57">
        <f>IFERROR(IF(C12=0,0,C13/C12),0)</f>
        <v>0.51898734177215189</v>
      </c>
      <c r="D14" s="57">
        <f>IFERROR(IF(D12=0,0,D13/D12),0)</f>
        <v>0.53355704697986572</v>
      </c>
      <c r="E14" s="57">
        <f>IFERROR(IF(E12=0,0,E13/E12),0)</f>
        <v>0.52258064516129032</v>
      </c>
      <c r="F14" s="58">
        <f>IFERROR((C14-D14)*100,0)</f>
        <v>-1.4569705207713834</v>
      </c>
      <c r="G14" s="58">
        <f>IFERROR((C14-E14)*100,0)</f>
        <v>-0.35933033891384358</v>
      </c>
    </row>
    <row r="15" spans="1:8" ht="19.5" customHeight="1" x14ac:dyDescent="0.35">
      <c r="B15" s="53" t="s">
        <v>308</v>
      </c>
      <c r="C15" s="54">
        <v>14200</v>
      </c>
      <c r="D15" s="54">
        <v>16800</v>
      </c>
      <c r="E15" s="54">
        <v>15500</v>
      </c>
      <c r="F15" s="55">
        <f>IFERROR(C15-D15,0)</f>
        <v>-2600</v>
      </c>
      <c r="G15" s="55">
        <f>IFERROR(C15-E15,0)</f>
        <v>-1300</v>
      </c>
    </row>
    <row r="16" spans="1:8" ht="19.5" customHeight="1" x14ac:dyDescent="0.35">
      <c r="B16" s="56" t="s">
        <v>309</v>
      </c>
      <c r="C16" s="57">
        <f>IFERROR(IF(C12=0,0,C15/C12),0)</f>
        <v>8.9873417721518981E-2</v>
      </c>
      <c r="D16" s="57">
        <f>IFERROR(IF(D12=0,0,D15/D12),0)</f>
        <v>0.11275167785234899</v>
      </c>
      <c r="E16" s="57">
        <f>IFERROR(IF(E12=0,0,E15/E12),0)</f>
        <v>0.1</v>
      </c>
      <c r="F16" s="58">
        <f>IFERROR((C16-D16)*100,0)</f>
        <v>-2.2878260130830013</v>
      </c>
      <c r="G16" s="58">
        <f>IFERROR((C16-E16)*100,0)</f>
        <v>-1.0126582278481024</v>
      </c>
    </row>
    <row r="17" spans="2:7" ht="19.5" customHeight="1" x14ac:dyDescent="0.35">
      <c r="B17" s="56" t="s">
        <v>310</v>
      </c>
      <c r="C17" s="59">
        <v>10400</v>
      </c>
      <c r="D17" s="59">
        <v>12900</v>
      </c>
      <c r="E17" s="59">
        <v>11600</v>
      </c>
      <c r="F17" s="60">
        <f>IFERROR(C17-D17,0)</f>
        <v>-2500</v>
      </c>
      <c r="G17" s="60">
        <f>IFERROR(C17-E17,0)</f>
        <v>-1200</v>
      </c>
    </row>
    <row r="18" spans="2:7" ht="25.5" customHeight="1" x14ac:dyDescent="0.35">
      <c r="B18" s="118" t="s">
        <v>311</v>
      </c>
      <c r="C18" s="118"/>
      <c r="D18" s="118"/>
      <c r="E18" s="118"/>
      <c r="F18" s="118"/>
      <c r="G18" s="118"/>
    </row>
    <row r="19" spans="2:7" ht="18" customHeight="1" x14ac:dyDescent="0.35">
      <c r="B19" s="26" t="s">
        <v>312</v>
      </c>
      <c r="C19" s="43" t="s">
        <v>313</v>
      </c>
      <c r="D19" s="26" t="s">
        <v>314</v>
      </c>
    </row>
    <row r="20" spans="2:7" ht="24" customHeight="1" x14ac:dyDescent="0.35">
      <c r="B20" s="61" t="s">
        <v>315</v>
      </c>
      <c r="C20" s="48" t="s">
        <v>316</v>
      </c>
      <c r="D20" s="119" t="s">
        <v>317</v>
      </c>
      <c r="E20" s="119"/>
      <c r="F20" s="119"/>
      <c r="G20" s="119"/>
    </row>
    <row r="21" spans="2:7" ht="24" customHeight="1" x14ac:dyDescent="0.35">
      <c r="B21" s="61" t="s">
        <v>318</v>
      </c>
      <c r="C21" s="48" t="s">
        <v>316</v>
      </c>
      <c r="D21" s="119" t="s">
        <v>319</v>
      </c>
      <c r="E21" s="119"/>
      <c r="F21" s="119"/>
      <c r="G21" s="119"/>
    </row>
    <row r="22" spans="2:7" ht="24" customHeight="1" x14ac:dyDescent="0.35">
      <c r="B22" s="61" t="s">
        <v>320</v>
      </c>
      <c r="C22" s="48" t="s">
        <v>321</v>
      </c>
      <c r="D22" s="119" t="s">
        <v>322</v>
      </c>
      <c r="E22" s="119"/>
      <c r="F22" s="119"/>
      <c r="G22" s="119"/>
    </row>
    <row r="23" spans="2:7" ht="24" customHeight="1" x14ac:dyDescent="0.35">
      <c r="B23" s="61" t="s">
        <v>323</v>
      </c>
      <c r="C23" s="48" t="s">
        <v>316</v>
      </c>
      <c r="D23" s="119" t="s">
        <v>324</v>
      </c>
      <c r="E23" s="119"/>
      <c r="F23" s="119"/>
      <c r="G23" s="119"/>
    </row>
    <row r="24" spans="2:7" ht="24" customHeight="1" x14ac:dyDescent="0.35">
      <c r="B24" s="61" t="s">
        <v>325</v>
      </c>
      <c r="C24" s="48" t="s">
        <v>326</v>
      </c>
      <c r="D24" s="119"/>
      <c r="E24" s="119"/>
      <c r="F24" s="119"/>
      <c r="G24" s="119"/>
    </row>
    <row r="25" spans="2:7" ht="12" customHeight="1" x14ac:dyDescent="0.35"/>
    <row r="26" spans="2:7" ht="19.5" customHeight="1" x14ac:dyDescent="0.35">
      <c r="B26" s="99" t="s">
        <v>327</v>
      </c>
      <c r="C26" s="99"/>
      <c r="D26" s="99"/>
      <c r="E26" s="99"/>
      <c r="F26" s="99"/>
      <c r="G26" s="99"/>
    </row>
    <row r="27" spans="2:7" ht="18" customHeight="1" x14ac:dyDescent="0.35">
      <c r="B27" s="26" t="s">
        <v>300</v>
      </c>
      <c r="C27" s="27" t="s">
        <v>301</v>
      </c>
      <c r="D27" s="27" t="s">
        <v>302</v>
      </c>
      <c r="F27" s="27" t="s">
        <v>328</v>
      </c>
    </row>
    <row r="28" spans="2:7" ht="19.5" customHeight="1" x14ac:dyDescent="0.35">
      <c r="B28" s="53" t="s">
        <v>329</v>
      </c>
      <c r="C28" s="54">
        <v>141000</v>
      </c>
      <c r="D28" s="54">
        <v>133500</v>
      </c>
      <c r="E28" s="63"/>
      <c r="F28" s="63"/>
      <c r="G28" s="63"/>
    </row>
    <row r="29" spans="2:7" ht="19.5" customHeight="1" x14ac:dyDescent="0.35">
      <c r="B29" s="53" t="s">
        <v>330</v>
      </c>
      <c r="C29" s="54">
        <v>128500</v>
      </c>
      <c r="D29" s="54">
        <v>141000</v>
      </c>
      <c r="E29" s="63"/>
      <c r="F29" s="63"/>
      <c r="G29" s="63"/>
    </row>
    <row r="30" spans="2:7" ht="19.5" customHeight="1" x14ac:dyDescent="0.35">
      <c r="B30" s="33" t="s">
        <v>331</v>
      </c>
      <c r="C30" s="64">
        <f>IFERROR(C29-C28,0)</f>
        <v>-12500</v>
      </c>
      <c r="D30" s="65"/>
      <c r="E30" s="65"/>
      <c r="F30" s="65"/>
      <c r="G30" s="65"/>
    </row>
    <row r="31" spans="2:7" ht="19.5" customHeight="1" x14ac:dyDescent="0.35">
      <c r="B31" s="25" t="s">
        <v>332</v>
      </c>
      <c r="C31" s="66">
        <v>6200</v>
      </c>
    </row>
    <row r="32" spans="2:7" ht="18" customHeight="1" x14ac:dyDescent="0.35">
      <c r="B32" s="102" t="s">
        <v>333</v>
      </c>
      <c r="C32" s="102"/>
      <c r="D32" s="102"/>
      <c r="E32" s="102"/>
      <c r="F32" s="102"/>
      <c r="G32" s="102"/>
    </row>
    <row r="33" spans="2:7" ht="18" customHeight="1" x14ac:dyDescent="0.35">
      <c r="B33" s="26" t="s">
        <v>312</v>
      </c>
      <c r="C33" s="43" t="s">
        <v>313</v>
      </c>
      <c r="D33" s="26" t="s">
        <v>314</v>
      </c>
    </row>
    <row r="34" spans="2:7" ht="24" customHeight="1" x14ac:dyDescent="0.35">
      <c r="B34" s="61" t="s">
        <v>334</v>
      </c>
      <c r="C34" s="48" t="s">
        <v>326</v>
      </c>
      <c r="D34" s="119" t="s">
        <v>335</v>
      </c>
      <c r="E34" s="119"/>
      <c r="F34" s="119"/>
      <c r="G34" s="119"/>
    </row>
    <row r="35" spans="2:7" ht="24" customHeight="1" x14ac:dyDescent="0.35">
      <c r="B35" s="61" t="s">
        <v>336</v>
      </c>
      <c r="C35" s="48" t="s">
        <v>316</v>
      </c>
      <c r="D35" s="119" t="s">
        <v>337</v>
      </c>
      <c r="E35" s="119"/>
      <c r="F35" s="119"/>
      <c r="G35" s="119"/>
    </row>
    <row r="36" spans="2:7" ht="24" customHeight="1" x14ac:dyDescent="0.35">
      <c r="B36" s="61" t="s">
        <v>338</v>
      </c>
      <c r="C36" s="48" t="s">
        <v>316</v>
      </c>
      <c r="D36" s="119" t="s">
        <v>339</v>
      </c>
      <c r="E36" s="119"/>
      <c r="F36" s="119"/>
      <c r="G36" s="119"/>
    </row>
    <row r="37" spans="2:7" ht="24" customHeight="1" x14ac:dyDescent="0.35">
      <c r="B37" s="61" t="s">
        <v>340</v>
      </c>
      <c r="C37" s="48" t="s">
        <v>326</v>
      </c>
      <c r="D37" s="119"/>
      <c r="E37" s="119"/>
      <c r="F37" s="119"/>
      <c r="G37" s="119"/>
    </row>
    <row r="38" spans="2:7" ht="24" customHeight="1" x14ac:dyDescent="0.35">
      <c r="B38" s="61" t="s">
        <v>341</v>
      </c>
      <c r="C38" s="48" t="s">
        <v>316</v>
      </c>
      <c r="D38" s="119" t="s">
        <v>342</v>
      </c>
      <c r="E38" s="119"/>
      <c r="F38" s="119"/>
      <c r="G38" s="119"/>
    </row>
    <row r="39" spans="2:7" ht="24" customHeight="1" x14ac:dyDescent="0.35">
      <c r="B39" s="61" t="s">
        <v>343</v>
      </c>
      <c r="C39" s="48" t="s">
        <v>326</v>
      </c>
      <c r="D39" s="119"/>
      <c r="E39" s="119"/>
      <c r="F39" s="119"/>
      <c r="G39" s="119"/>
    </row>
    <row r="40" spans="2:7" ht="24" customHeight="1" x14ac:dyDescent="0.35">
      <c r="B40" s="61" t="s">
        <v>344</v>
      </c>
      <c r="C40" s="48" t="s">
        <v>321</v>
      </c>
      <c r="D40" s="119" t="s">
        <v>345</v>
      </c>
      <c r="E40" s="119"/>
      <c r="F40" s="119"/>
      <c r="G40" s="119"/>
    </row>
    <row r="41" spans="2:7" ht="12" customHeight="1" x14ac:dyDescent="0.35"/>
    <row r="42" spans="2:7" ht="19.5" customHeight="1" x14ac:dyDescent="0.35">
      <c r="B42" s="99" t="s">
        <v>346</v>
      </c>
      <c r="C42" s="99"/>
      <c r="D42" s="99"/>
      <c r="E42" s="99"/>
      <c r="F42" s="99"/>
      <c r="G42" s="99"/>
    </row>
    <row r="43" spans="2:7" ht="18" customHeight="1" x14ac:dyDescent="0.35">
      <c r="B43" s="26" t="s">
        <v>300</v>
      </c>
      <c r="C43" s="27" t="s">
        <v>301</v>
      </c>
      <c r="D43" s="27" t="s">
        <v>302</v>
      </c>
      <c r="F43" s="27" t="s">
        <v>328</v>
      </c>
    </row>
    <row r="44" spans="2:7" ht="19.5" customHeight="1" x14ac:dyDescent="0.35">
      <c r="B44" s="53" t="s">
        <v>170</v>
      </c>
      <c r="C44" s="54">
        <v>96000</v>
      </c>
      <c r="D44" s="54">
        <v>84000</v>
      </c>
      <c r="E44" s="63"/>
      <c r="F44" s="55">
        <f>IFERROR(C44-D44,0)</f>
        <v>12000</v>
      </c>
      <c r="G44" s="63"/>
    </row>
    <row r="45" spans="2:7" ht="19.5" customHeight="1" x14ac:dyDescent="0.35">
      <c r="B45" s="53" t="s">
        <v>347</v>
      </c>
      <c r="C45" s="54">
        <v>41000</v>
      </c>
      <c r="D45" s="54">
        <v>38500</v>
      </c>
      <c r="E45" s="63"/>
      <c r="F45" s="55">
        <f>IFERROR(C45-D45,0)</f>
        <v>2500</v>
      </c>
      <c r="G45" s="63"/>
    </row>
    <row r="46" spans="2:7" ht="19.5" customHeight="1" x14ac:dyDescent="0.35">
      <c r="B46" s="53" t="s">
        <v>348</v>
      </c>
      <c r="C46" s="54">
        <v>0</v>
      </c>
      <c r="D46" s="54">
        <v>0</v>
      </c>
      <c r="E46" s="63"/>
      <c r="F46" s="55">
        <f>IFERROR(C46-D46,0)</f>
        <v>0</v>
      </c>
      <c r="G46" s="63"/>
    </row>
    <row r="48" spans="2:7" ht="18" customHeight="1" x14ac:dyDescent="0.35">
      <c r="B48" s="26" t="s">
        <v>312</v>
      </c>
      <c r="C48" s="43" t="s">
        <v>313</v>
      </c>
      <c r="D48" s="26" t="s">
        <v>314</v>
      </c>
    </row>
    <row r="49" spans="2:7" ht="24" customHeight="1" x14ac:dyDescent="0.35">
      <c r="B49" s="61" t="s">
        <v>349</v>
      </c>
      <c r="C49" s="48" t="s">
        <v>316</v>
      </c>
      <c r="D49" s="119" t="s">
        <v>350</v>
      </c>
      <c r="E49" s="119"/>
      <c r="F49" s="119"/>
      <c r="G49" s="119"/>
    </row>
    <row r="50" spans="2:7" ht="24" customHeight="1" x14ac:dyDescent="0.35">
      <c r="B50" s="61" t="s">
        <v>351</v>
      </c>
      <c r="C50" s="48" t="s">
        <v>316</v>
      </c>
      <c r="D50" s="119" t="s">
        <v>352</v>
      </c>
      <c r="E50" s="119"/>
      <c r="F50" s="119"/>
      <c r="G50" s="119"/>
    </row>
    <row r="51" spans="2:7" ht="24" customHeight="1" x14ac:dyDescent="0.35">
      <c r="B51" s="61" t="s">
        <v>353</v>
      </c>
      <c r="C51" s="48" t="s">
        <v>326</v>
      </c>
      <c r="D51" s="119"/>
      <c r="E51" s="119"/>
      <c r="F51" s="119"/>
      <c r="G51" s="119"/>
    </row>
    <row r="52" spans="2:7" ht="24" customHeight="1" x14ac:dyDescent="0.35">
      <c r="B52" s="61" t="s">
        <v>354</v>
      </c>
      <c r="C52" s="48" t="s">
        <v>326</v>
      </c>
      <c r="D52" s="119"/>
      <c r="E52" s="119"/>
      <c r="F52" s="119"/>
      <c r="G52" s="119"/>
    </row>
    <row r="53" spans="2:7" ht="24" customHeight="1" x14ac:dyDescent="0.35">
      <c r="B53" s="61" t="s">
        <v>355</v>
      </c>
      <c r="C53" s="48" t="s">
        <v>167</v>
      </c>
      <c r="D53" s="119" t="s">
        <v>356</v>
      </c>
      <c r="E53" s="119"/>
      <c r="F53" s="119"/>
      <c r="G53" s="119"/>
    </row>
    <row r="54" spans="2:7" ht="12" customHeight="1" x14ac:dyDescent="0.35"/>
    <row r="55" spans="2:7" ht="19.5" customHeight="1" x14ac:dyDescent="0.35">
      <c r="B55" s="99" t="s">
        <v>357</v>
      </c>
      <c r="C55" s="99"/>
      <c r="D55" s="99"/>
      <c r="E55" s="99"/>
      <c r="F55" s="99"/>
      <c r="G55" s="99"/>
    </row>
    <row r="56" spans="2:7" ht="18" customHeight="1" x14ac:dyDescent="0.35">
      <c r="B56" s="26" t="s">
        <v>300</v>
      </c>
      <c r="C56" s="27" t="s">
        <v>301</v>
      </c>
      <c r="D56" s="27" t="s">
        <v>302</v>
      </c>
      <c r="F56" s="27" t="s">
        <v>328</v>
      </c>
    </row>
    <row r="57" spans="2:7" ht="19.5" customHeight="1" x14ac:dyDescent="0.35">
      <c r="B57" s="53" t="s">
        <v>90</v>
      </c>
      <c r="C57" s="54">
        <v>128500</v>
      </c>
      <c r="D57" s="54">
        <v>141000</v>
      </c>
      <c r="E57" s="63"/>
      <c r="F57" s="55">
        <f>IFERROR(C57-D57,0)</f>
        <v>-12500</v>
      </c>
      <c r="G57" s="63"/>
    </row>
    <row r="58" spans="2:7" ht="19.5" customHeight="1" x14ac:dyDescent="0.35">
      <c r="B58" s="53" t="s">
        <v>358</v>
      </c>
      <c r="C58" s="54">
        <v>212000</v>
      </c>
      <c r="D58" s="54">
        <v>216000</v>
      </c>
      <c r="E58" s="63"/>
      <c r="F58" s="55">
        <f>IFERROR(C58-D58,0)</f>
        <v>-4000</v>
      </c>
      <c r="G58" s="63"/>
    </row>
    <row r="59" spans="2:7" ht="19.5" customHeight="1" x14ac:dyDescent="0.35">
      <c r="B59" s="53" t="s">
        <v>359</v>
      </c>
      <c r="C59" s="54">
        <v>184000</v>
      </c>
      <c r="D59" s="54">
        <v>173600</v>
      </c>
      <c r="E59" s="63"/>
      <c r="F59" s="55">
        <f>IFERROR(C59-D59,0)</f>
        <v>10400</v>
      </c>
      <c r="G59" s="63"/>
    </row>
    <row r="61" spans="2:7" ht="18" customHeight="1" x14ac:dyDescent="0.35">
      <c r="B61" s="26" t="s">
        <v>312</v>
      </c>
      <c r="C61" s="43" t="s">
        <v>313</v>
      </c>
      <c r="D61" s="26" t="s">
        <v>314</v>
      </c>
    </row>
    <row r="62" spans="2:7" ht="24" customHeight="1" x14ac:dyDescent="0.35">
      <c r="B62" s="61" t="s">
        <v>360</v>
      </c>
      <c r="C62" s="48" t="s">
        <v>326</v>
      </c>
      <c r="D62" s="119" t="s">
        <v>361</v>
      </c>
      <c r="E62" s="119"/>
      <c r="F62" s="119"/>
      <c r="G62" s="119"/>
    </row>
    <row r="63" spans="2:7" ht="24" customHeight="1" x14ac:dyDescent="0.35">
      <c r="B63" s="61" t="s">
        <v>362</v>
      </c>
      <c r="C63" s="48" t="s">
        <v>326</v>
      </c>
      <c r="D63" s="119"/>
      <c r="E63" s="119"/>
      <c r="F63" s="119"/>
      <c r="G63" s="119"/>
    </row>
    <row r="64" spans="2:7" ht="24" customHeight="1" x14ac:dyDescent="0.35">
      <c r="B64" s="61" t="s">
        <v>363</v>
      </c>
      <c r="C64" s="48" t="s">
        <v>326</v>
      </c>
      <c r="D64" s="119"/>
      <c r="E64" s="119"/>
      <c r="F64" s="119"/>
      <c r="G64" s="119"/>
    </row>
    <row r="65" spans="2:7" ht="24" customHeight="1" x14ac:dyDescent="0.35">
      <c r="B65" s="61" t="s">
        <v>364</v>
      </c>
      <c r="C65" s="48" t="s">
        <v>321</v>
      </c>
      <c r="D65" s="119" t="s">
        <v>365</v>
      </c>
      <c r="E65" s="119"/>
      <c r="F65" s="119"/>
      <c r="G65" s="119"/>
    </row>
    <row r="66" spans="2:7" ht="12" customHeight="1" x14ac:dyDescent="0.35"/>
    <row r="67" spans="2:7" ht="19.5" customHeight="1" x14ac:dyDescent="0.35">
      <c r="B67" s="99" t="s">
        <v>366</v>
      </c>
      <c r="C67" s="99"/>
      <c r="D67" s="99"/>
      <c r="E67" s="99"/>
      <c r="F67" s="99"/>
      <c r="G67" s="99"/>
    </row>
    <row r="68" spans="2:7" ht="18" customHeight="1" x14ac:dyDescent="0.35">
      <c r="B68" s="102" t="s">
        <v>367</v>
      </c>
      <c r="C68" s="102"/>
      <c r="D68" s="102"/>
      <c r="E68" s="102"/>
      <c r="F68" s="102"/>
      <c r="G68" s="102"/>
    </row>
    <row r="69" spans="2:7" ht="33.75" customHeight="1" x14ac:dyDescent="0.35">
      <c r="B69" s="67" t="s">
        <v>368</v>
      </c>
      <c r="C69" s="120" t="s">
        <v>369</v>
      </c>
      <c r="D69" s="120"/>
      <c r="E69" s="120"/>
      <c r="F69" s="120"/>
      <c r="G69" s="120"/>
    </row>
    <row r="70" spans="2:7" ht="33.75" customHeight="1" x14ac:dyDescent="0.35">
      <c r="B70" s="67" t="s">
        <v>370</v>
      </c>
      <c r="C70" s="120" t="s">
        <v>371</v>
      </c>
      <c r="D70" s="120"/>
      <c r="E70" s="120"/>
      <c r="F70" s="120"/>
      <c r="G70" s="120"/>
    </row>
    <row r="71" spans="2:7" ht="33.75" customHeight="1" x14ac:dyDescent="0.35">
      <c r="B71" s="67" t="s">
        <v>372</v>
      </c>
      <c r="C71" s="120" t="s">
        <v>373</v>
      </c>
      <c r="D71" s="120"/>
      <c r="E71" s="120"/>
      <c r="F71" s="120"/>
      <c r="G71" s="120"/>
    </row>
    <row r="72" spans="2:7" ht="33.75" customHeight="1" x14ac:dyDescent="0.35">
      <c r="B72" s="67" t="s">
        <v>374</v>
      </c>
      <c r="C72" s="120" t="s">
        <v>375</v>
      </c>
      <c r="D72" s="120"/>
      <c r="E72" s="120"/>
      <c r="F72" s="120"/>
      <c r="G72" s="120"/>
    </row>
    <row r="73" spans="2:7" ht="33.75" customHeight="1" x14ac:dyDescent="0.35">
      <c r="B73" s="67" t="s">
        <v>376</v>
      </c>
      <c r="C73" s="120" t="s">
        <v>377</v>
      </c>
      <c r="D73" s="120"/>
      <c r="E73" s="120"/>
      <c r="F73" s="120"/>
      <c r="G73" s="120"/>
    </row>
    <row r="75" spans="2:7" ht="18" customHeight="1" x14ac:dyDescent="0.35">
      <c r="B75" s="108" t="s">
        <v>378</v>
      </c>
      <c r="C75" s="108"/>
      <c r="D75" s="108"/>
      <c r="E75" s="108"/>
      <c r="F75" s="108"/>
      <c r="G75" s="108"/>
    </row>
  </sheetData>
  <sheetProtection sheet="1" formatCells="0" sort="0" autoFilter="0"/>
  <mergeCells count="39">
    <mergeCell ref="C71:G71"/>
    <mergeCell ref="C72:G72"/>
    <mergeCell ref="C73:G73"/>
    <mergeCell ref="B75:G75"/>
    <mergeCell ref="D65:G65"/>
    <mergeCell ref="B67:G67"/>
    <mergeCell ref="B68:G68"/>
    <mergeCell ref="C69:G69"/>
    <mergeCell ref="C70:G70"/>
    <mergeCell ref="D53:G53"/>
    <mergeCell ref="B55:G55"/>
    <mergeCell ref="D62:G62"/>
    <mergeCell ref="D63:G63"/>
    <mergeCell ref="D64:G64"/>
    <mergeCell ref="B42:G42"/>
    <mergeCell ref="D49:G49"/>
    <mergeCell ref="D50:G50"/>
    <mergeCell ref="D51:G51"/>
    <mergeCell ref="D52:G52"/>
    <mergeCell ref="D36:G36"/>
    <mergeCell ref="D37:G37"/>
    <mergeCell ref="D38:G38"/>
    <mergeCell ref="D39:G39"/>
    <mergeCell ref="D40:G40"/>
    <mergeCell ref="D24:G24"/>
    <mergeCell ref="B26:G26"/>
    <mergeCell ref="B32:G32"/>
    <mergeCell ref="D34:G34"/>
    <mergeCell ref="D35:G35"/>
    <mergeCell ref="B18:G18"/>
    <mergeCell ref="D20:G20"/>
    <mergeCell ref="D21:G21"/>
    <mergeCell ref="D22:G22"/>
    <mergeCell ref="D23:G23"/>
    <mergeCell ref="B2:G2"/>
    <mergeCell ref="B3:G3"/>
    <mergeCell ref="B6:C6"/>
    <mergeCell ref="D7:G8"/>
    <mergeCell ref="B10:G10"/>
  </mergeCells>
  <dataValidations count="4">
    <dataValidation type="list" allowBlank="1" showErrorMessage="1" errorTitle="Owner Review Status" error="Choose Not Started, In Progress or Complete." sqref="C7" xr:uid="{00000000-0002-0000-0300-000000000000}">
      <formula1>"Not Started,In Progress,Complete"</formula1>
      <formula2>0</formula2>
    </dataValidation>
    <dataValidation type="list" allowBlank="1" showErrorMessage="1" errorTitle="Answer" error="Choose one of the listed answers." sqref="C20:C24" xr:uid="{00000000-0002-0000-0300-000001000000}">
      <formula1>"Yes,No,Not Sure"</formula1>
      <formula2>0</formula2>
    </dataValidation>
    <dataValidation type="list" allowBlank="1" showErrorMessage="1" errorTitle="Answer" error="Choose one of the listed answers." sqref="C34:C40 C49:C53 C62:C65" xr:uid="{00000000-0002-0000-0300-000002000000}">
      <formula1>"Yes,No,Not Sure,N/A"</formula1>
      <formula2>0</formula2>
    </dataValidation>
    <dataValidation type="decimal" showErrorMessage="1" errorTitle="Amount" error="Enter a dollar amount." sqref="C12:E13 C15:E15 C17:E17 C28:D29 C31 C44:D46 C57:D59" xr:uid="{00000000-0002-0000-0300-000003000000}">
      <formula1>-1000000000</formula1>
      <formula2>1000000000</formula2>
    </dataValidation>
  </dataValidation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8"/>
  <sheetViews>
    <sheetView showGridLines="0" zoomScale="80" zoomScaleNormal="80" workbookViewId="0">
      <pane xSplit="5" ySplit="12" topLeftCell="F13" activePane="bottomRight" state="frozen"/>
      <selection pane="topRight" activeCell="F1" sqref="F1"/>
      <selection pane="bottomLeft" activeCell="A13" sqref="A13"/>
      <selection pane="bottomRight" activeCell="I13" sqref="I13"/>
    </sheetView>
  </sheetViews>
  <sheetFormatPr defaultColWidth="8.6328125" defaultRowHeight="14.5" x14ac:dyDescent="0.35"/>
  <cols>
    <col min="1" max="1" width="3" customWidth="1"/>
    <col min="2" max="2" width="5" customWidth="1"/>
    <col min="3" max="3" width="14" customWidth="1"/>
    <col min="4" max="4" width="12" customWidth="1"/>
    <col min="5" max="5" width="16" customWidth="1"/>
    <col min="6" max="6" width="46" customWidth="1"/>
    <col min="7" max="7" width="40" customWidth="1"/>
    <col min="8" max="8" width="15" customWidth="1"/>
    <col min="9" max="9" width="11" customWidth="1"/>
    <col min="10" max="10" width="13" customWidth="1"/>
    <col min="11" max="11" width="14" customWidth="1"/>
    <col min="12" max="12" width="34" customWidth="1"/>
    <col min="13" max="13" width="3" customWidth="1"/>
  </cols>
  <sheetData>
    <row r="1" spans="1:13" ht="13.5" customHeight="1" x14ac:dyDescent="0.35">
      <c r="A1" s="109" t="s">
        <v>0</v>
      </c>
      <c r="B1" s="109"/>
      <c r="C1" s="109"/>
      <c r="D1" s="109"/>
      <c r="E1" s="109"/>
      <c r="F1" s="109"/>
      <c r="G1" s="109"/>
      <c r="H1" s="109"/>
      <c r="I1" s="109"/>
      <c r="J1" s="109"/>
      <c r="K1" s="109"/>
      <c r="L1" s="109"/>
      <c r="M1" s="109"/>
    </row>
    <row r="2" spans="1:13" ht="25.5" customHeight="1" x14ac:dyDescent="0.35">
      <c r="A2" s="110" t="s">
        <v>379</v>
      </c>
      <c r="B2" s="110"/>
      <c r="C2" s="110"/>
      <c r="D2" s="110"/>
      <c r="E2" s="110"/>
      <c r="F2" s="110"/>
      <c r="G2" s="111" t="s">
        <v>380</v>
      </c>
      <c r="H2" s="111"/>
      <c r="I2" s="111"/>
      <c r="J2" s="111"/>
      <c r="K2" s="111"/>
      <c r="L2" s="111"/>
      <c r="M2" s="111"/>
    </row>
    <row r="3" spans="1:13" ht="15.75" customHeight="1" x14ac:dyDescent="0.35">
      <c r="A3" s="112" t="s">
        <v>381</v>
      </c>
      <c r="B3" s="112"/>
      <c r="C3" s="112"/>
      <c r="D3" s="112"/>
      <c r="E3" s="112"/>
      <c r="F3" s="112"/>
      <c r="G3" s="112"/>
      <c r="H3" s="112"/>
      <c r="I3" s="112"/>
      <c r="J3" s="112"/>
      <c r="K3" s="112"/>
      <c r="L3" s="112"/>
      <c r="M3" s="112"/>
    </row>
    <row r="4" spans="1:13" ht="7.5" customHeight="1" x14ac:dyDescent="0.35"/>
    <row r="5" spans="1:13" ht="19.5" customHeight="1" x14ac:dyDescent="0.35">
      <c r="B5" s="99" t="s">
        <v>382</v>
      </c>
      <c r="C5" s="99"/>
      <c r="D5" s="99"/>
      <c r="E5" s="99"/>
    </row>
    <row r="6" spans="1:13" ht="18.75" customHeight="1" x14ac:dyDescent="0.35">
      <c r="B6" s="121" t="s">
        <v>383</v>
      </c>
      <c r="C6" s="121"/>
      <c r="D6" s="121"/>
      <c r="E6" s="39">
        <f>COUNTIF($K$13:$K$26,"Open")+COUNTIF($K$13:$K$26,"In Progress")</f>
        <v>6</v>
      </c>
      <c r="F6" s="113" t="s">
        <v>384</v>
      </c>
      <c r="G6" s="113"/>
      <c r="H6" s="113"/>
      <c r="I6" s="113"/>
      <c r="J6" s="113"/>
      <c r="K6" s="113"/>
      <c r="L6" s="113"/>
    </row>
    <row r="7" spans="1:13" ht="18.75" customHeight="1" x14ac:dyDescent="0.35">
      <c r="B7" s="121" t="s">
        <v>385</v>
      </c>
      <c r="C7" s="121"/>
      <c r="D7" s="121"/>
      <c r="E7" s="39">
        <f>COUNTIFS($I$13:$I$26,"High",$K$13:$K$26,"Open")+COUNTIFS($I$13:$I$26,"High",$K$13:$K$26,"In Progress")</f>
        <v>2</v>
      </c>
      <c r="F7" s="113"/>
      <c r="G7" s="113"/>
      <c r="H7" s="113"/>
      <c r="I7" s="113"/>
      <c r="J7" s="113"/>
      <c r="K7" s="113"/>
      <c r="L7" s="113"/>
    </row>
    <row r="8" spans="1:13" ht="18.75" customHeight="1" x14ac:dyDescent="0.35">
      <c r="B8" s="121" t="s">
        <v>386</v>
      </c>
      <c r="C8" s="121"/>
      <c r="D8" s="121"/>
      <c r="E8" s="39">
        <f ca="1">COUNTIFS($J$13:$J$26,"&gt;0",$J$13:$J$26,"&lt;"&amp;TODAY(),$K$13:$K$26,"Open")+COUNTIFS($J$13:$J$26,"&gt;0",$J$13:$J$26,"&lt;"&amp;TODAY(),$K$13:$K$26,"In Progress")</f>
        <v>1</v>
      </c>
      <c r="F8" s="113"/>
      <c r="G8" s="113"/>
      <c r="H8" s="113"/>
      <c r="I8" s="113"/>
      <c r="J8" s="113"/>
      <c r="K8" s="113"/>
      <c r="L8" s="113"/>
    </row>
    <row r="9" spans="1:13" ht="18.75" customHeight="1" x14ac:dyDescent="0.35">
      <c r="B9" s="122" t="s">
        <v>387</v>
      </c>
      <c r="C9" s="122"/>
      <c r="D9" s="122"/>
      <c r="E9" s="37">
        <f>COUNTIF($K$13:$K$26,"In Progress")</f>
        <v>2</v>
      </c>
      <c r="F9" s="113"/>
      <c r="G9" s="113"/>
      <c r="H9" s="113"/>
      <c r="I9" s="113"/>
      <c r="J9" s="113"/>
      <c r="K9" s="113"/>
      <c r="L9" s="113"/>
    </row>
    <row r="10" spans="1:13" ht="18.75" customHeight="1" x14ac:dyDescent="0.35">
      <c r="B10" s="122" t="s">
        <v>388</v>
      </c>
      <c r="C10" s="122"/>
      <c r="D10" s="122"/>
      <c r="E10" s="37">
        <f>COUNTIF($K$13:$K$26,"Resolved")</f>
        <v>2</v>
      </c>
    </row>
    <row r="11" spans="1:13" ht="19.5" customHeight="1" x14ac:dyDescent="0.35">
      <c r="B11" s="115" t="s">
        <v>389</v>
      </c>
      <c r="C11" s="115"/>
      <c r="D11" s="115"/>
      <c r="E11" s="115"/>
      <c r="F11" s="115"/>
      <c r="G11" s="115"/>
      <c r="H11" s="115"/>
      <c r="I11" s="115"/>
      <c r="J11" s="115"/>
      <c r="K11" s="115"/>
      <c r="L11" s="115"/>
    </row>
    <row r="12" spans="1:13" ht="21.75" customHeight="1" x14ac:dyDescent="0.35">
      <c r="B12" s="43" t="s">
        <v>131</v>
      </c>
      <c r="C12" s="43" t="s">
        <v>390</v>
      </c>
      <c r="D12" s="43" t="s">
        <v>391</v>
      </c>
      <c r="E12" s="43" t="s">
        <v>88</v>
      </c>
      <c r="F12" s="26" t="s">
        <v>392</v>
      </c>
      <c r="G12" s="26" t="s">
        <v>134</v>
      </c>
      <c r="H12" s="43" t="s">
        <v>89</v>
      </c>
      <c r="I12" s="43" t="s">
        <v>393</v>
      </c>
      <c r="J12" s="43" t="s">
        <v>135</v>
      </c>
      <c r="K12" s="43" t="s">
        <v>136</v>
      </c>
      <c r="L12" s="26" t="s">
        <v>394</v>
      </c>
    </row>
    <row r="13" spans="1:13" ht="30" customHeight="1" x14ac:dyDescent="0.35">
      <c r="B13" s="44">
        <v>1</v>
      </c>
      <c r="C13" s="49">
        <v>46237</v>
      </c>
      <c r="D13" s="48" t="s">
        <v>395</v>
      </c>
      <c r="E13" s="48" t="s">
        <v>90</v>
      </c>
      <c r="F13" s="68" t="s">
        <v>396</v>
      </c>
      <c r="G13" s="47" t="s">
        <v>397</v>
      </c>
      <c r="H13" s="48" t="s">
        <v>91</v>
      </c>
      <c r="I13" s="48" t="s">
        <v>398</v>
      </c>
      <c r="J13" s="49">
        <v>46241</v>
      </c>
      <c r="K13" s="48" t="s">
        <v>399</v>
      </c>
      <c r="L13" s="62" t="s">
        <v>400</v>
      </c>
    </row>
    <row r="14" spans="1:13" ht="30" customHeight="1" x14ac:dyDescent="0.35">
      <c r="B14" s="44">
        <v>2</v>
      </c>
      <c r="C14" s="49">
        <v>46238</v>
      </c>
      <c r="D14" s="48" t="s">
        <v>395</v>
      </c>
      <c r="E14" s="48" t="s">
        <v>94</v>
      </c>
      <c r="F14" s="68" t="s">
        <v>401</v>
      </c>
      <c r="G14" s="47" t="s">
        <v>402</v>
      </c>
      <c r="H14" s="48" t="s">
        <v>89</v>
      </c>
      <c r="I14" s="48" t="s">
        <v>398</v>
      </c>
      <c r="J14" s="49">
        <v>46310</v>
      </c>
      <c r="K14" s="48" t="s">
        <v>123</v>
      </c>
      <c r="L14" s="62" t="s">
        <v>403</v>
      </c>
    </row>
    <row r="15" spans="1:13" ht="30" customHeight="1" x14ac:dyDescent="0.35">
      <c r="B15" s="44">
        <v>3</v>
      </c>
      <c r="C15" s="49">
        <v>46239</v>
      </c>
      <c r="D15" s="48" t="s">
        <v>395</v>
      </c>
      <c r="E15" s="48" t="s">
        <v>103</v>
      </c>
      <c r="F15" s="68" t="s">
        <v>404</v>
      </c>
      <c r="G15" s="47" t="s">
        <v>405</v>
      </c>
      <c r="H15" s="48" t="s">
        <v>93</v>
      </c>
      <c r="I15" s="48" t="s">
        <v>406</v>
      </c>
      <c r="J15" s="49">
        <v>46304</v>
      </c>
      <c r="K15" s="48" t="s">
        <v>123</v>
      </c>
      <c r="L15" s="62" t="s">
        <v>407</v>
      </c>
    </row>
    <row r="16" spans="1:13" ht="30" customHeight="1" x14ac:dyDescent="0.35">
      <c r="B16" s="44">
        <v>4</v>
      </c>
      <c r="C16" s="49">
        <v>46239</v>
      </c>
      <c r="D16" s="48" t="s">
        <v>395</v>
      </c>
      <c r="E16" s="48" t="s">
        <v>96</v>
      </c>
      <c r="F16" s="68" t="s">
        <v>408</v>
      </c>
      <c r="G16" s="47" t="s">
        <v>409</v>
      </c>
      <c r="H16" s="48" t="s">
        <v>93</v>
      </c>
      <c r="I16" s="48" t="s">
        <v>406</v>
      </c>
      <c r="J16" s="49">
        <v>46307</v>
      </c>
      <c r="K16" s="48" t="s">
        <v>399</v>
      </c>
      <c r="L16" s="62"/>
    </row>
    <row r="17" spans="2:12" ht="30" customHeight="1" x14ac:dyDescent="0.35">
      <c r="B17" s="44">
        <v>5</v>
      </c>
      <c r="C17" s="49">
        <v>46240</v>
      </c>
      <c r="D17" s="48" t="s">
        <v>395</v>
      </c>
      <c r="E17" s="48" t="s">
        <v>102</v>
      </c>
      <c r="F17" s="68" t="s">
        <v>410</v>
      </c>
      <c r="G17" s="47" t="s">
        <v>411</v>
      </c>
      <c r="H17" s="48" t="s">
        <v>93</v>
      </c>
      <c r="I17" s="48" t="s">
        <v>406</v>
      </c>
      <c r="J17" s="49">
        <v>46339</v>
      </c>
      <c r="K17" s="48" t="s">
        <v>399</v>
      </c>
      <c r="L17" s="62" t="s">
        <v>412</v>
      </c>
    </row>
    <row r="18" spans="2:12" ht="30" customHeight="1" x14ac:dyDescent="0.35">
      <c r="B18" s="44">
        <v>6</v>
      </c>
      <c r="C18" s="49">
        <v>46240</v>
      </c>
      <c r="D18" s="48" t="s">
        <v>395</v>
      </c>
      <c r="E18" s="48" t="s">
        <v>105</v>
      </c>
      <c r="F18" s="68" t="s">
        <v>413</v>
      </c>
      <c r="G18" s="47" t="s">
        <v>414</v>
      </c>
      <c r="H18" s="48" t="s">
        <v>89</v>
      </c>
      <c r="I18" s="48" t="s">
        <v>406</v>
      </c>
      <c r="J18" s="49">
        <v>46315</v>
      </c>
      <c r="K18" s="48" t="s">
        <v>399</v>
      </c>
      <c r="L18" s="62"/>
    </row>
    <row r="19" spans="2:12" ht="30" customHeight="1" x14ac:dyDescent="0.35">
      <c r="B19" s="44">
        <v>7</v>
      </c>
      <c r="C19" s="49">
        <v>46211</v>
      </c>
      <c r="D19" s="48" t="s">
        <v>415</v>
      </c>
      <c r="E19" s="48" t="s">
        <v>100</v>
      </c>
      <c r="F19" s="68" t="s">
        <v>416</v>
      </c>
      <c r="G19" s="47" t="s">
        <v>417</v>
      </c>
      <c r="H19" s="48" t="s">
        <v>93</v>
      </c>
      <c r="I19" s="48" t="s">
        <v>406</v>
      </c>
      <c r="J19" s="49">
        <v>46223</v>
      </c>
      <c r="K19" s="48" t="s">
        <v>418</v>
      </c>
      <c r="L19" s="62" t="s">
        <v>419</v>
      </c>
    </row>
    <row r="20" spans="2:12" ht="30" customHeight="1" x14ac:dyDescent="0.35">
      <c r="B20" s="44">
        <v>8</v>
      </c>
      <c r="C20" s="49">
        <v>46213</v>
      </c>
      <c r="D20" s="48" t="s">
        <v>415</v>
      </c>
      <c r="E20" s="48" t="s">
        <v>106</v>
      </c>
      <c r="F20" s="68" t="s">
        <v>420</v>
      </c>
      <c r="G20" s="47" t="s">
        <v>421</v>
      </c>
      <c r="H20" s="48" t="s">
        <v>91</v>
      </c>
      <c r="I20" s="48" t="s">
        <v>406</v>
      </c>
      <c r="J20" s="49">
        <v>46228</v>
      </c>
      <c r="K20" s="48" t="s">
        <v>418</v>
      </c>
      <c r="L20" s="62" t="s">
        <v>422</v>
      </c>
    </row>
    <row r="21" spans="2:12" ht="30" customHeight="1" x14ac:dyDescent="0.35">
      <c r="B21" s="44"/>
      <c r="C21" s="49"/>
      <c r="D21" s="48"/>
      <c r="E21" s="48"/>
      <c r="F21" s="68"/>
      <c r="G21" s="47"/>
      <c r="H21" s="48"/>
      <c r="I21" s="48"/>
      <c r="J21" s="49"/>
      <c r="K21" s="48"/>
      <c r="L21" s="62"/>
    </row>
    <row r="22" spans="2:12" ht="30" customHeight="1" x14ac:dyDescent="0.35">
      <c r="B22" s="44"/>
      <c r="C22" s="49"/>
      <c r="D22" s="48"/>
      <c r="E22" s="48"/>
      <c r="F22" s="68"/>
      <c r="G22" s="47"/>
      <c r="H22" s="48"/>
      <c r="I22" s="48"/>
      <c r="J22" s="49"/>
      <c r="K22" s="48"/>
      <c r="L22" s="62"/>
    </row>
    <row r="23" spans="2:12" ht="30" customHeight="1" x14ac:dyDescent="0.35">
      <c r="B23" s="44"/>
      <c r="C23" s="49"/>
      <c r="D23" s="48"/>
      <c r="E23" s="48"/>
      <c r="F23" s="68"/>
      <c r="G23" s="47"/>
      <c r="H23" s="48"/>
      <c r="I23" s="48"/>
      <c r="J23" s="49"/>
      <c r="K23" s="48"/>
      <c r="L23" s="62"/>
    </row>
    <row r="24" spans="2:12" ht="30" customHeight="1" x14ac:dyDescent="0.35">
      <c r="B24" s="44"/>
      <c r="C24" s="49"/>
      <c r="D24" s="48"/>
      <c r="E24" s="48"/>
      <c r="F24" s="68"/>
      <c r="G24" s="47"/>
      <c r="H24" s="48"/>
      <c r="I24" s="48"/>
      <c r="J24" s="49"/>
      <c r="K24" s="48"/>
      <c r="L24" s="62"/>
    </row>
    <row r="25" spans="2:12" ht="30" customHeight="1" x14ac:dyDescent="0.35">
      <c r="B25" s="44"/>
      <c r="C25" s="49"/>
      <c r="D25" s="48"/>
      <c r="E25" s="48"/>
      <c r="F25" s="68"/>
      <c r="G25" s="47"/>
      <c r="H25" s="48"/>
      <c r="I25" s="48"/>
      <c r="J25" s="49"/>
      <c r="K25" s="48"/>
      <c r="L25" s="62"/>
    </row>
    <row r="26" spans="2:12" ht="30" customHeight="1" x14ac:dyDescent="0.35">
      <c r="B26" s="44"/>
      <c r="C26" s="49"/>
      <c r="D26" s="48"/>
      <c r="E26" s="48"/>
      <c r="F26" s="68"/>
      <c r="G26" s="47"/>
      <c r="H26" s="48"/>
      <c r="I26" s="48"/>
      <c r="J26" s="49"/>
      <c r="K26" s="48"/>
      <c r="L26" s="62"/>
    </row>
    <row r="28" spans="2:12" ht="18" customHeight="1" x14ac:dyDescent="0.35">
      <c r="B28" s="108" t="s">
        <v>423</v>
      </c>
      <c r="C28" s="108"/>
      <c r="D28" s="108"/>
      <c r="E28" s="108"/>
      <c r="F28" s="108"/>
      <c r="G28" s="108"/>
      <c r="H28" s="108"/>
      <c r="I28" s="108"/>
      <c r="J28" s="108"/>
      <c r="K28" s="108"/>
      <c r="L28" s="108"/>
    </row>
  </sheetData>
  <sheetProtection sheet="1" formatCells="0" sort="0" autoFilter="0"/>
  <mergeCells count="13">
    <mergeCell ref="B10:D10"/>
    <mergeCell ref="B11:L11"/>
    <mergeCell ref="B28:L28"/>
    <mergeCell ref="B6:D6"/>
    <mergeCell ref="F6:L9"/>
    <mergeCell ref="B7:D7"/>
    <mergeCell ref="B8:D8"/>
    <mergeCell ref="B9:D9"/>
    <mergeCell ref="A1:M1"/>
    <mergeCell ref="A2:F2"/>
    <mergeCell ref="G2:M2"/>
    <mergeCell ref="A3:M3"/>
    <mergeCell ref="B5:E5"/>
  </mergeCells>
  <conditionalFormatting sqref="I13:I26">
    <cfRule type="expression" dxfId="8" priority="5">
      <formula>AND($I13="High",$K13&lt;&gt;"Resolved")</formula>
    </cfRule>
    <cfRule type="expression" dxfId="7" priority="6">
      <formula>$I13="Normal"</formula>
    </cfRule>
  </conditionalFormatting>
  <conditionalFormatting sqref="K13:K26">
    <cfRule type="expression" dxfId="6" priority="2">
      <formula>$K13="Resolved"</formula>
    </cfRule>
    <cfRule type="expression" dxfId="5" priority="3">
      <formula>$K13="In Progress"</formula>
    </cfRule>
    <cfRule type="expression" dxfId="4" priority="4">
      <formula>$K13="Open"</formula>
    </cfRule>
  </conditionalFormatting>
  <dataValidations count="5">
    <dataValidation type="list" allowBlank="1" showErrorMessage="1" errorTitle="Category" error="Choose a category from the CLOSE SETUP tab." sqref="E13:E26" xr:uid="{00000000-0002-0000-0400-000000000000}">
      <formula1>CategoryList</formula1>
      <formula2>0</formula2>
    </dataValidation>
    <dataValidation type="list" allowBlank="1" showErrorMessage="1" errorTitle="Owner" error="Choose an entry from the CLOSE SETUP tab." sqref="H13:H26" xr:uid="{00000000-0002-0000-0400-000001000000}">
      <formula1>OwnerList</formula1>
      <formula2>0</formula2>
    </dataValidation>
    <dataValidation type="list" allowBlank="1" showErrorMessage="1" errorTitle="Priority" error="Choose Normal or High." sqref="I13:I26" xr:uid="{00000000-0002-0000-0400-000002000000}">
      <formula1>"Normal,High"</formula1>
      <formula2>0</formula2>
    </dataValidation>
    <dataValidation type="list" allowBlank="1" showErrorMessage="1" errorTitle="Status" error="Choose Open, In Progress or Resolved." sqref="K13:K26" xr:uid="{00000000-0002-0000-0400-000003000000}">
      <formula1>"Open,In Progress,Resolved"</formula1>
      <formula2>0</formula2>
    </dataValidation>
    <dataValidation type="date" showErrorMessage="1" errorTitle="Date" error="Enter a valid date." sqref="C13:C26 J13:J26" xr:uid="{00000000-0002-0000-0400-000004000000}">
      <formula1>DATE(2020,1,1)</formula1>
      <formula2>DATE(2060,12,31)</formula2>
    </dataValidation>
  </dataValidations>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9"/>
  <sheetViews>
    <sheetView showGridLines="0" zoomScaleNormal="100" workbookViewId="0">
      <pane xSplit="1" ySplit="15" topLeftCell="B16" activePane="bottomRight" state="frozen"/>
      <selection pane="topRight" activeCell="B1" sqref="B1"/>
      <selection pane="bottomLeft" activeCell="A16" sqref="A16"/>
      <selection pane="bottomRight" sqref="A1:L1"/>
    </sheetView>
  </sheetViews>
  <sheetFormatPr defaultColWidth="8.6328125" defaultRowHeight="14.5" x14ac:dyDescent="0.35"/>
  <cols>
    <col min="1" max="1" width="3" customWidth="1"/>
    <col min="2" max="2" width="16" customWidth="1"/>
    <col min="3" max="5" width="15" customWidth="1"/>
    <col min="6" max="6" width="19" customWidth="1"/>
    <col min="7" max="7" width="17" customWidth="1"/>
    <col min="8" max="8" width="19" customWidth="1"/>
    <col min="9" max="9" width="15" customWidth="1"/>
    <col min="10" max="10" width="14" customWidth="1"/>
    <col min="11" max="11" width="40" customWidth="1"/>
    <col min="12" max="12" width="3" customWidth="1"/>
  </cols>
  <sheetData>
    <row r="1" spans="1:12" ht="13.5" customHeight="1" x14ac:dyDescent="0.35">
      <c r="A1" s="109" t="s">
        <v>0</v>
      </c>
      <c r="B1" s="109"/>
      <c r="C1" s="109"/>
      <c r="D1" s="109"/>
      <c r="E1" s="109"/>
      <c r="F1" s="109"/>
      <c r="G1" s="109"/>
      <c r="H1" s="109"/>
      <c r="I1" s="109"/>
      <c r="J1" s="109"/>
      <c r="K1" s="109"/>
      <c r="L1" s="109"/>
    </row>
    <row r="2" spans="1:12" ht="25.5" customHeight="1" x14ac:dyDescent="0.35">
      <c r="A2" s="110" t="s">
        <v>424</v>
      </c>
      <c r="B2" s="110"/>
      <c r="C2" s="110"/>
      <c r="D2" s="110"/>
      <c r="E2" s="110"/>
      <c r="F2" s="110"/>
      <c r="G2" s="111" t="s">
        <v>380</v>
      </c>
      <c r="H2" s="111"/>
      <c r="I2" s="111"/>
      <c r="J2" s="111"/>
      <c r="K2" s="111"/>
      <c r="L2" s="111"/>
    </row>
    <row r="3" spans="1:12" ht="15.75" customHeight="1" x14ac:dyDescent="0.35">
      <c r="A3" s="112" t="s">
        <v>425</v>
      </c>
      <c r="B3" s="112"/>
      <c r="C3" s="112"/>
      <c r="D3" s="112"/>
      <c r="E3" s="112"/>
      <c r="F3" s="112"/>
      <c r="G3" s="112"/>
      <c r="H3" s="112"/>
      <c r="I3" s="112"/>
      <c r="J3" s="112"/>
      <c r="K3" s="112"/>
      <c r="L3" s="112"/>
    </row>
    <row r="4" spans="1:12" ht="7.5" customHeight="1" x14ac:dyDescent="0.35"/>
    <row r="5" spans="1:12" ht="19.5" customHeight="1" x14ac:dyDescent="0.35">
      <c r="C5" s="99" t="s">
        <v>426</v>
      </c>
      <c r="D5" s="99"/>
    </row>
    <row r="6" spans="1:12" ht="18.75" customHeight="1" x14ac:dyDescent="0.35">
      <c r="C6" s="38" t="s">
        <v>427</v>
      </c>
      <c r="D6" s="40">
        <f>IFERROR(INDEX($G$16:$G$27,MATCH(MAX($E$16:$E$27),$E$16:$E$27,0)),"—")</f>
        <v>1</v>
      </c>
      <c r="F6" s="113" t="s">
        <v>428</v>
      </c>
      <c r="G6" s="113"/>
      <c r="H6" s="113"/>
      <c r="I6" s="113"/>
      <c r="J6" s="113"/>
      <c r="K6" s="113"/>
    </row>
    <row r="7" spans="1:12" ht="18.75" customHeight="1" x14ac:dyDescent="0.35">
      <c r="C7" s="38" t="s">
        <v>429</v>
      </c>
      <c r="D7" s="69">
        <f>IFERROR(INDEX($F$16:$F$27,MATCH(MAX($E$16:$E$27),$E$16:$E$27,0)),"—")</f>
        <v>8</v>
      </c>
      <c r="F7" s="113"/>
      <c r="G7" s="113"/>
      <c r="H7" s="113"/>
      <c r="I7" s="113"/>
      <c r="J7" s="113"/>
      <c r="K7" s="113"/>
    </row>
    <row r="8" spans="1:12" ht="18.75" customHeight="1" x14ac:dyDescent="0.35">
      <c r="C8" s="36" t="s">
        <v>430</v>
      </c>
      <c r="D8" s="70">
        <f>IFERROR(IF(COUNT($F$16:$F$27)=0,"—",AVERAGE($F$16:$F$27)),"—")</f>
        <v>8.8333333333333339</v>
      </c>
      <c r="F8" s="113"/>
      <c r="G8" s="113"/>
      <c r="H8" s="113"/>
      <c r="I8" s="113"/>
      <c r="J8" s="113"/>
      <c r="K8" s="113"/>
    </row>
    <row r="9" spans="1:12" ht="18.75" customHeight="1" x14ac:dyDescent="0.35">
      <c r="C9" s="36" t="s">
        <v>431</v>
      </c>
      <c r="D9" s="71">
        <f>IFERROR(IF(COUNT($F$16:$F$27)=0,"—",MIN($F$16:$F$27)),"—")</f>
        <v>7</v>
      </c>
    </row>
    <row r="10" spans="1:12" ht="18.75" customHeight="1" x14ac:dyDescent="0.35">
      <c r="C10" s="36" t="s">
        <v>432</v>
      </c>
      <c r="D10" s="71">
        <f>IFERROR(IF(COUNT($F$16:$F$27)=0,"—",MAX($F$16:$F$27)),"—")</f>
        <v>12</v>
      </c>
    </row>
    <row r="11" spans="1:12" ht="18.75" customHeight="1" x14ac:dyDescent="0.35">
      <c r="C11" s="36" t="s">
        <v>433</v>
      </c>
      <c r="D11" s="72">
        <f>COUNTIF($H$16:$H$27,"Yes")</f>
        <v>10</v>
      </c>
    </row>
    <row r="12" spans="1:12" ht="19.5" customHeight="1" x14ac:dyDescent="0.35">
      <c r="C12" s="73" t="s">
        <v>434</v>
      </c>
      <c r="D12" s="74" t="str">
        <f>IFERROR(IF(MATCH(MAX($E$16:$E$27),$E$16:$E$27,0)&lt;=1,"Not enough history",IF(INDEX($I$16:$I$27,MATCH(MAX($E$16:$E$27),$E$16:$E$27,0))&gt;INDEX($I$16:$I$27,MATCH(MAX($E$16:$E$27),$E$16:$E$27,0)-1),"Increasing",IF(INDEX($I$16:$I$27,MATCH(MAX($E$16:$E$27),$E$16:$E$27,0))&lt;INDEX($I$16:$I$27,MATCH(MAX($E$16:$E$27),$E$16:$E$27,0)-1),"Decreasing","Unchanged"))),"—")</f>
        <v>Decreasing</v>
      </c>
    </row>
    <row r="14" spans="1:12" ht="19.5" customHeight="1" x14ac:dyDescent="0.35">
      <c r="B14" s="115" t="s">
        <v>435</v>
      </c>
      <c r="C14" s="115"/>
      <c r="D14" s="115"/>
      <c r="E14" s="115"/>
      <c r="F14" s="115"/>
      <c r="G14" s="115"/>
      <c r="H14" s="115"/>
      <c r="I14" s="115"/>
      <c r="J14" s="115"/>
      <c r="K14" s="115"/>
    </row>
    <row r="15" spans="1:12" ht="33.75" customHeight="1" x14ac:dyDescent="0.35">
      <c r="B15" s="75" t="s">
        <v>391</v>
      </c>
      <c r="C15" s="76" t="s">
        <v>68</v>
      </c>
      <c r="D15" s="76" t="s">
        <v>77</v>
      </c>
      <c r="E15" s="76" t="s">
        <v>436</v>
      </c>
      <c r="F15" s="76" t="s">
        <v>437</v>
      </c>
      <c r="G15" s="76" t="s">
        <v>128</v>
      </c>
      <c r="H15" s="76" t="s">
        <v>298</v>
      </c>
      <c r="I15" s="76" t="s">
        <v>438</v>
      </c>
      <c r="J15" s="76" t="s">
        <v>439</v>
      </c>
      <c r="K15" s="75" t="s">
        <v>61</v>
      </c>
    </row>
    <row r="16" spans="1:12" ht="19.5" customHeight="1" x14ac:dyDescent="0.35">
      <c r="B16" s="77" t="s">
        <v>440</v>
      </c>
      <c r="C16" s="49">
        <v>45869</v>
      </c>
      <c r="D16" s="49">
        <v>45877</v>
      </c>
      <c r="E16" s="49">
        <v>45880</v>
      </c>
      <c r="F16" s="78">
        <f t="shared" ref="F16:F27" si="0">IFERROR(IF(OR(C16="",E16=""),"",E16-C16),"")</f>
        <v>11</v>
      </c>
      <c r="G16" s="79">
        <v>1</v>
      </c>
      <c r="H16" s="48" t="s">
        <v>316</v>
      </c>
      <c r="I16" s="80">
        <v>5</v>
      </c>
      <c r="J16" s="80">
        <v>1</v>
      </c>
      <c r="K16" s="81" t="s">
        <v>441</v>
      </c>
    </row>
    <row r="17" spans="2:11" ht="19.5" customHeight="1" x14ac:dyDescent="0.35">
      <c r="B17" s="77" t="s">
        <v>442</v>
      </c>
      <c r="C17" s="49">
        <v>45900</v>
      </c>
      <c r="D17" s="49">
        <v>45908</v>
      </c>
      <c r="E17" s="49">
        <v>45909</v>
      </c>
      <c r="F17" s="78">
        <f t="shared" si="0"/>
        <v>9</v>
      </c>
      <c r="G17" s="79">
        <v>1</v>
      </c>
      <c r="H17" s="48" t="s">
        <v>316</v>
      </c>
      <c r="I17" s="80">
        <v>4</v>
      </c>
      <c r="J17" s="80">
        <v>0</v>
      </c>
      <c r="K17" s="81"/>
    </row>
    <row r="18" spans="2:11" ht="19.5" customHeight="1" x14ac:dyDescent="0.35">
      <c r="B18" s="77" t="s">
        <v>443</v>
      </c>
      <c r="C18" s="49">
        <v>45930</v>
      </c>
      <c r="D18" s="49">
        <v>45938</v>
      </c>
      <c r="E18" s="49">
        <v>45938</v>
      </c>
      <c r="F18" s="78">
        <f t="shared" si="0"/>
        <v>8</v>
      </c>
      <c r="G18" s="79">
        <v>1</v>
      </c>
      <c r="H18" s="48" t="s">
        <v>326</v>
      </c>
      <c r="I18" s="80">
        <v>6</v>
      </c>
      <c r="J18" s="80">
        <v>2</v>
      </c>
      <c r="K18" s="81" t="s">
        <v>444</v>
      </c>
    </row>
    <row r="19" spans="2:11" ht="19.5" customHeight="1" x14ac:dyDescent="0.35">
      <c r="B19" s="77" t="s">
        <v>445</v>
      </c>
      <c r="C19" s="49">
        <v>45961</v>
      </c>
      <c r="D19" s="49">
        <v>45969</v>
      </c>
      <c r="E19" s="49">
        <v>45971</v>
      </c>
      <c r="F19" s="78">
        <f t="shared" si="0"/>
        <v>10</v>
      </c>
      <c r="G19" s="79">
        <v>0.96</v>
      </c>
      <c r="H19" s="48" t="s">
        <v>316</v>
      </c>
      <c r="I19" s="80">
        <v>5</v>
      </c>
      <c r="J19" s="80">
        <v>1</v>
      </c>
      <c r="K19" s="81"/>
    </row>
    <row r="20" spans="2:11" ht="19.5" customHeight="1" x14ac:dyDescent="0.35">
      <c r="B20" s="77" t="s">
        <v>446</v>
      </c>
      <c r="C20" s="49">
        <v>45991</v>
      </c>
      <c r="D20" s="49">
        <v>45999</v>
      </c>
      <c r="E20" s="49">
        <v>45998</v>
      </c>
      <c r="F20" s="78">
        <f t="shared" si="0"/>
        <v>7</v>
      </c>
      <c r="G20" s="79">
        <v>1</v>
      </c>
      <c r="H20" s="48" t="s">
        <v>316</v>
      </c>
      <c r="I20" s="80">
        <v>3</v>
      </c>
      <c r="J20" s="80">
        <v>0</v>
      </c>
      <c r="K20" s="81"/>
    </row>
    <row r="21" spans="2:11" ht="19.5" customHeight="1" x14ac:dyDescent="0.35">
      <c r="B21" s="77" t="s">
        <v>447</v>
      </c>
      <c r="C21" s="49">
        <v>46022</v>
      </c>
      <c r="D21" s="49">
        <v>46030</v>
      </c>
      <c r="E21" s="49">
        <v>46031</v>
      </c>
      <c r="F21" s="78">
        <f t="shared" si="0"/>
        <v>9</v>
      </c>
      <c r="G21" s="79">
        <v>1</v>
      </c>
      <c r="H21" s="48" t="s">
        <v>316</v>
      </c>
      <c r="I21" s="80">
        <v>4</v>
      </c>
      <c r="J21" s="80">
        <v>1</v>
      </c>
      <c r="K21" s="81" t="s">
        <v>448</v>
      </c>
    </row>
    <row r="22" spans="2:11" ht="19.5" customHeight="1" x14ac:dyDescent="0.35">
      <c r="B22" s="77" t="s">
        <v>449</v>
      </c>
      <c r="C22" s="49">
        <v>46053</v>
      </c>
      <c r="D22" s="49">
        <v>46061</v>
      </c>
      <c r="E22" s="49">
        <v>46061</v>
      </c>
      <c r="F22" s="78">
        <f t="shared" si="0"/>
        <v>8</v>
      </c>
      <c r="G22" s="79">
        <v>1</v>
      </c>
      <c r="H22" s="48" t="s">
        <v>316</v>
      </c>
      <c r="I22" s="80">
        <v>3</v>
      </c>
      <c r="J22" s="80">
        <v>0</v>
      </c>
      <c r="K22" s="81"/>
    </row>
    <row r="23" spans="2:11" ht="19.5" customHeight="1" x14ac:dyDescent="0.35">
      <c r="B23" s="77" t="s">
        <v>450</v>
      </c>
      <c r="C23" s="49">
        <v>46081</v>
      </c>
      <c r="D23" s="49">
        <v>46089</v>
      </c>
      <c r="E23" s="49">
        <v>46093</v>
      </c>
      <c r="F23" s="78">
        <f t="shared" si="0"/>
        <v>12</v>
      </c>
      <c r="G23" s="79">
        <v>0.94</v>
      </c>
      <c r="H23" s="48" t="s">
        <v>326</v>
      </c>
      <c r="I23" s="80">
        <v>7</v>
      </c>
      <c r="J23" s="80">
        <v>2</v>
      </c>
      <c r="K23" s="81" t="s">
        <v>451</v>
      </c>
    </row>
    <row r="24" spans="2:11" ht="19.5" customHeight="1" x14ac:dyDescent="0.35">
      <c r="B24" s="77" t="s">
        <v>452</v>
      </c>
      <c r="C24" s="49">
        <v>46112</v>
      </c>
      <c r="D24" s="49">
        <v>46120</v>
      </c>
      <c r="E24" s="49">
        <v>46120</v>
      </c>
      <c r="F24" s="78">
        <f t="shared" si="0"/>
        <v>8</v>
      </c>
      <c r="G24" s="79">
        <v>1</v>
      </c>
      <c r="H24" s="48" t="s">
        <v>316</v>
      </c>
      <c r="I24" s="80">
        <v>4</v>
      </c>
      <c r="J24" s="80">
        <v>1</v>
      </c>
      <c r="K24" s="81"/>
    </row>
    <row r="25" spans="2:11" ht="19.5" customHeight="1" x14ac:dyDescent="0.35">
      <c r="B25" s="77" t="s">
        <v>453</v>
      </c>
      <c r="C25" s="49">
        <v>46142</v>
      </c>
      <c r="D25" s="49">
        <v>46150</v>
      </c>
      <c r="E25" s="49">
        <v>46149</v>
      </c>
      <c r="F25" s="78">
        <f t="shared" si="0"/>
        <v>7</v>
      </c>
      <c r="G25" s="79">
        <v>1</v>
      </c>
      <c r="H25" s="48" t="s">
        <v>316</v>
      </c>
      <c r="I25" s="80">
        <v>3</v>
      </c>
      <c r="J25" s="80">
        <v>0</v>
      </c>
      <c r="K25" s="81"/>
    </row>
    <row r="26" spans="2:11" ht="19.5" customHeight="1" x14ac:dyDescent="0.35">
      <c r="B26" s="77" t="s">
        <v>454</v>
      </c>
      <c r="C26" s="49">
        <v>46173</v>
      </c>
      <c r="D26" s="49">
        <v>46181</v>
      </c>
      <c r="E26" s="49">
        <v>46182</v>
      </c>
      <c r="F26" s="78">
        <f t="shared" si="0"/>
        <v>9</v>
      </c>
      <c r="G26" s="79">
        <v>0.98</v>
      </c>
      <c r="H26" s="48" t="s">
        <v>316</v>
      </c>
      <c r="I26" s="80">
        <v>5</v>
      </c>
      <c r="J26" s="80">
        <v>1</v>
      </c>
      <c r="K26" s="81"/>
    </row>
    <row r="27" spans="2:11" ht="19.5" customHeight="1" x14ac:dyDescent="0.35">
      <c r="B27" s="77" t="s">
        <v>415</v>
      </c>
      <c r="C27" s="49">
        <v>46203</v>
      </c>
      <c r="D27" s="49">
        <v>46211</v>
      </c>
      <c r="E27" s="49">
        <v>46211</v>
      </c>
      <c r="F27" s="78">
        <f t="shared" si="0"/>
        <v>8</v>
      </c>
      <c r="G27" s="79">
        <v>1</v>
      </c>
      <c r="H27" s="48" t="s">
        <v>316</v>
      </c>
      <c r="I27" s="80">
        <v>4</v>
      </c>
      <c r="J27" s="80">
        <v>1</v>
      </c>
      <c r="K27" s="81"/>
    </row>
    <row r="29" spans="2:11" ht="18" customHeight="1" x14ac:dyDescent="0.35">
      <c r="B29" s="108" t="s">
        <v>455</v>
      </c>
      <c r="C29" s="108"/>
      <c r="D29" s="108"/>
      <c r="E29" s="108"/>
      <c r="F29" s="108"/>
      <c r="G29" s="108"/>
      <c r="H29" s="108"/>
      <c r="I29" s="108"/>
      <c r="J29" s="108"/>
      <c r="K29" s="108"/>
    </row>
  </sheetData>
  <sheetProtection sheet="1" formatCells="0" sort="0" autoFilter="0"/>
  <mergeCells count="8">
    <mergeCell ref="F6:K8"/>
    <mergeCell ref="B14:K14"/>
    <mergeCell ref="B29:K29"/>
    <mergeCell ref="A1:L1"/>
    <mergeCell ref="A2:F2"/>
    <mergeCell ref="G2:L2"/>
    <mergeCell ref="A3:L3"/>
    <mergeCell ref="C5:D5"/>
  </mergeCells>
  <dataValidations count="4">
    <dataValidation type="date" showErrorMessage="1" errorTitle="Date" error="Enter a valid date." sqref="C16:E27" xr:uid="{00000000-0002-0000-0500-000000000000}">
      <formula1>DATE(2020,1,1)</formula1>
      <formula2>DATE(2060,12,31)</formula2>
    </dataValidation>
    <dataValidation type="list" allowBlank="1" showErrorMessage="1" errorTitle="Owner Review Complete?" error="Choose Yes or No." sqref="H16:H27" xr:uid="{00000000-0002-0000-0500-000001000000}">
      <formula1>"Yes,No"</formula1>
      <formula2>0</formula2>
    </dataValidation>
    <dataValidation type="decimal" showErrorMessage="1" errorTitle="Close Completion %" error="Enter a percentage between 0% and 100%." sqref="G16:G27" xr:uid="{00000000-0002-0000-0500-000002000000}">
      <formula1>0</formula1>
      <formula2>1</formula2>
    </dataValidation>
    <dataValidation type="whole" showErrorMessage="1" errorTitle="Count" error="Enter a whole number." sqref="I16:J27" xr:uid="{00000000-0002-0000-0500-000003000000}">
      <formula1>0</formula1>
      <formula2>999</formula2>
    </dataValidation>
  </dataValidations>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52"/>
  <sheetViews>
    <sheetView showGridLines="0" zoomScale="85" zoomScaleNormal="85" workbookViewId="0">
      <selection activeCell="AF25" sqref="AF25"/>
    </sheetView>
  </sheetViews>
  <sheetFormatPr defaultColWidth="8.6328125" defaultRowHeight="14.5" x14ac:dyDescent="0.35"/>
  <cols>
    <col min="1" max="1" width="2.1796875" customWidth="1"/>
    <col min="2" max="22" width="5.54296875" customWidth="1"/>
    <col min="23" max="23" width="2.1796875" customWidth="1"/>
    <col min="24" max="24" width="2" customWidth="1"/>
    <col min="25" max="27" width="9" customWidth="1"/>
  </cols>
  <sheetData>
    <row r="1" spans="1:26" ht="15.75" customHeight="1" x14ac:dyDescent="0.35">
      <c r="A1" s="15"/>
      <c r="B1" s="123" t="s">
        <v>0</v>
      </c>
      <c r="C1" s="123"/>
      <c r="D1" s="123"/>
      <c r="E1" s="123"/>
      <c r="F1" s="123"/>
      <c r="G1" s="123"/>
      <c r="H1" s="123"/>
      <c r="I1" s="123"/>
      <c r="J1" s="123"/>
      <c r="K1" s="123"/>
      <c r="L1" s="123"/>
      <c r="M1" s="123"/>
      <c r="N1" s="123"/>
      <c r="O1" s="123"/>
      <c r="P1" s="123"/>
      <c r="Q1" s="123"/>
      <c r="R1" s="123"/>
      <c r="S1" s="123"/>
      <c r="T1" s="123"/>
      <c r="U1" s="123"/>
      <c r="V1" s="123"/>
      <c r="W1" s="15"/>
    </row>
    <row r="2" spans="1:26" ht="27.75" customHeight="1" x14ac:dyDescent="0.35">
      <c r="A2" s="15"/>
      <c r="B2" s="97" t="s">
        <v>456</v>
      </c>
      <c r="C2" s="97"/>
      <c r="D2" s="97"/>
      <c r="E2" s="97"/>
      <c r="F2" s="97"/>
      <c r="G2" s="97"/>
      <c r="H2" s="97"/>
      <c r="I2" s="97"/>
      <c r="J2" s="97"/>
      <c r="K2" s="97"/>
      <c r="L2" s="97"/>
      <c r="M2" s="97"/>
      <c r="N2" s="124" t="str">
        <f>IFERROR('CLOSE SETUP'!$C$8&amp;"   ·   "&amp;'CLOSE SETUP'!$C$9,"")</f>
        <v>Northbridge Consulting Group Ltd.   ·   July 2026</v>
      </c>
      <c r="O2" s="124"/>
      <c r="P2" s="124"/>
      <c r="Q2" s="124"/>
      <c r="R2" s="124"/>
      <c r="S2" s="124"/>
      <c r="T2" s="124"/>
      <c r="U2" s="124"/>
      <c r="V2" s="124"/>
      <c r="W2" s="15"/>
    </row>
    <row r="3" spans="1:26" ht="15" customHeight="1" x14ac:dyDescent="0.35">
      <c r="A3" s="15"/>
      <c r="B3" s="125" t="s">
        <v>457</v>
      </c>
      <c r="C3" s="125"/>
      <c r="D3" s="125"/>
      <c r="E3" s="125"/>
      <c r="F3" s="125"/>
      <c r="G3" s="125"/>
      <c r="H3" s="125"/>
      <c r="I3" s="125"/>
      <c r="J3" s="125"/>
      <c r="K3" s="125"/>
      <c r="L3" s="125"/>
      <c r="M3" s="125"/>
      <c r="N3" s="125"/>
      <c r="O3" s="125"/>
      <c r="P3" s="125"/>
      <c r="Q3" s="125"/>
      <c r="R3" s="125"/>
      <c r="S3" s="125"/>
      <c r="T3" s="125"/>
      <c r="U3" s="125"/>
      <c r="V3" s="125"/>
      <c r="W3" s="15"/>
    </row>
    <row r="4" spans="1:26" ht="7.5" customHeight="1" x14ac:dyDescent="0.35"/>
    <row r="5" spans="1:26" ht="4.5" customHeight="1" x14ac:dyDescent="0.35">
      <c r="B5" s="126"/>
      <c r="C5" s="126"/>
      <c r="D5" s="126"/>
      <c r="E5" s="126"/>
      <c r="F5" s="126"/>
      <c r="G5" s="126"/>
      <c r="H5" s="126"/>
      <c r="I5" s="126"/>
      <c r="J5" s="126"/>
      <c r="K5" s="126"/>
      <c r="L5" s="126"/>
      <c r="M5" s="126"/>
      <c r="N5" s="126"/>
      <c r="O5" s="126"/>
      <c r="P5" s="126"/>
      <c r="Q5" s="126"/>
      <c r="R5" s="126"/>
      <c r="S5" s="126"/>
      <c r="T5" s="126"/>
      <c r="U5" s="126"/>
      <c r="V5" s="126"/>
    </row>
    <row r="6" spans="1:26" ht="15" customHeight="1" x14ac:dyDescent="0.35">
      <c r="B6" s="127" t="s">
        <v>458</v>
      </c>
      <c r="C6" s="127"/>
      <c r="D6" s="127"/>
      <c r="E6" s="127"/>
      <c r="F6" s="127"/>
      <c r="G6" s="127"/>
      <c r="H6" s="127"/>
      <c r="I6" s="127"/>
      <c r="J6" s="127"/>
      <c r="K6" s="127"/>
      <c r="L6" s="127"/>
      <c r="M6" s="127"/>
      <c r="N6" s="127" t="s">
        <v>459</v>
      </c>
      <c r="O6" s="127"/>
      <c r="P6" s="127"/>
      <c r="Q6" s="127"/>
      <c r="R6" s="127"/>
      <c r="S6" s="127"/>
      <c r="T6" s="127"/>
      <c r="U6" s="127"/>
      <c r="V6" s="127"/>
      <c r="Y6" s="82" t="s">
        <v>140</v>
      </c>
      <c r="Z6" s="83">
        <f>IFERROR(IF((COUNTIF('MONTHLY CLOSE'!$C$21:$C$90,Y6)-COUNTIFS('MONTHLY CLOSE'!$C$21:$C$90,Y6,'MONTHLY CLOSE'!$H$21:$H$90,"N/A"))=0,0,COUNTIFS('MONTHLY CLOSE'!$C$21:$C$90,Y6,'MONTHLY CLOSE'!$H$21:$H$90,"Complete")/(COUNTIF('MONTHLY CLOSE'!$C$21:$C$90,Y6)-COUNTIFS('MONTHLY CLOSE'!$C$21:$C$90,Y6,'MONTHLY CLOSE'!$H$21:$H$90,"N/A"))),0)</f>
        <v>0.83333333333333337</v>
      </c>
    </row>
    <row r="7" spans="1:26" ht="30" customHeight="1" x14ac:dyDescent="0.35">
      <c r="B7" s="128" t="str">
        <f>'MONTHLY CLOSE'!$D$15</f>
        <v>Review Required</v>
      </c>
      <c r="C7" s="128"/>
      <c r="D7" s="128"/>
      <c r="E7" s="128"/>
      <c r="F7" s="128"/>
      <c r="G7" s="128"/>
      <c r="H7" s="128"/>
      <c r="I7" s="128"/>
      <c r="J7" s="128"/>
      <c r="K7" s="128"/>
      <c r="L7" s="128"/>
      <c r="M7" s="128"/>
      <c r="N7" s="129">
        <f>'MONTHLY CLOSE'!$D$14</f>
        <v>0.8867924528301887</v>
      </c>
      <c r="O7" s="129"/>
      <c r="P7" s="129"/>
      <c r="Q7" s="129"/>
      <c r="R7" s="129"/>
      <c r="S7" s="129"/>
      <c r="T7" s="129"/>
      <c r="U7" s="129"/>
      <c r="V7" s="129"/>
      <c r="Y7" s="82" t="s">
        <v>92</v>
      </c>
      <c r="Z7" s="83">
        <f>IFERROR(IF((COUNTIF('MONTHLY CLOSE'!$C$21:$C$90,Y7)-COUNTIFS('MONTHLY CLOSE'!$C$21:$C$90,Y7,'MONTHLY CLOSE'!$H$21:$H$90,"N/A"))=0,0,COUNTIFS('MONTHLY CLOSE'!$C$21:$C$90,Y7,'MONTHLY CLOSE'!$H$21:$H$90,"Complete")/(COUNTIF('MONTHLY CLOSE'!$C$21:$C$90,Y7)-COUNTIFS('MONTHLY CLOSE'!$C$21:$C$90,Y7,'MONTHLY CLOSE'!$H$21:$H$90,"N/A"))),0)</f>
        <v>1</v>
      </c>
    </row>
    <row r="8" spans="1:26" ht="3.75" customHeight="1" x14ac:dyDescent="0.35">
      <c r="B8" s="84"/>
      <c r="C8" s="65"/>
      <c r="D8" s="65"/>
      <c r="E8" s="65"/>
      <c r="F8" s="65"/>
      <c r="G8" s="65"/>
      <c r="H8" s="65"/>
      <c r="I8" s="65"/>
      <c r="J8" s="65"/>
      <c r="K8" s="65"/>
      <c r="L8" s="65"/>
      <c r="M8" s="85"/>
      <c r="N8" s="84"/>
      <c r="O8" s="65"/>
      <c r="P8" s="65"/>
      <c r="Q8" s="65"/>
      <c r="R8" s="65"/>
      <c r="S8" s="65"/>
      <c r="T8" s="65"/>
      <c r="U8" s="65"/>
      <c r="V8" s="85"/>
      <c r="Y8" s="82" t="s">
        <v>170</v>
      </c>
      <c r="Z8" s="83">
        <f>IFERROR(IF((COUNTIF('MONTHLY CLOSE'!$C$21:$C$90,Y8)-COUNTIFS('MONTHLY CLOSE'!$C$21:$C$90,Y8,'MONTHLY CLOSE'!$H$21:$H$90,"N/A"))=0,0,COUNTIFS('MONTHLY CLOSE'!$C$21:$C$90,Y8,'MONTHLY CLOSE'!$H$21:$H$90,"Complete")/(COUNTIF('MONTHLY CLOSE'!$C$21:$C$90,Y8)-COUNTIFS('MONTHLY CLOSE'!$C$21:$C$90,Y8,'MONTHLY CLOSE'!$H$21:$H$90,"N/A"))),0)</f>
        <v>0.83333333333333337</v>
      </c>
    </row>
    <row r="9" spans="1:26" ht="15.75" customHeight="1" x14ac:dyDescent="0.35">
      <c r="B9" s="130" t="str">
        <f>IFERROR("Target close date: "&amp;TEXT('CLOSE SETUP'!$C$17,"mmm d, yyyy")&amp;"     ·     Month-end: "&amp;TEXT('CLOSE SETUP'!$C$10,"mmm d, yyyy"),"")</f>
        <v>Target close date: Aug 8, 2026     ·     Month-end: Jul 31, 2026</v>
      </c>
      <c r="C9" s="130"/>
      <c r="D9" s="130"/>
      <c r="E9" s="130"/>
      <c r="F9" s="130"/>
      <c r="G9" s="130"/>
      <c r="H9" s="130"/>
      <c r="I9" s="130"/>
      <c r="J9" s="130"/>
      <c r="K9" s="130"/>
      <c r="L9" s="130"/>
      <c r="M9" s="130"/>
      <c r="N9" s="130" t="str">
        <f>IFERROR('MONTHLY CLOSE'!$D$9&amp;" of "&amp;'MONTHLY CLOSE'!$D$8&amp;" applicable tasks complete     ·     "&amp;'MONTHLY CLOSE'!$D$7&amp;" marked N/A","")</f>
        <v>47 of 53 applicable tasks complete     ·     9 marked N/A</v>
      </c>
      <c r="O9" s="130"/>
      <c r="P9" s="130"/>
      <c r="Q9" s="130"/>
      <c r="R9" s="130"/>
      <c r="S9" s="130"/>
      <c r="T9" s="130"/>
      <c r="U9" s="130"/>
      <c r="V9" s="130"/>
      <c r="Y9" s="82" t="s">
        <v>185</v>
      </c>
      <c r="Z9" s="83">
        <f>IFERROR(IF((COUNTIF('MONTHLY CLOSE'!$C$21:$C$90,Y9)-COUNTIFS('MONTHLY CLOSE'!$C$21:$C$90,Y9,'MONTHLY CLOSE'!$H$21:$H$90,"N/A"))=0,0,COUNTIFS('MONTHLY CLOSE'!$C$21:$C$90,Y9,'MONTHLY CLOSE'!$H$21:$H$90,"Complete")/(COUNTIF('MONTHLY CLOSE'!$C$21:$C$90,Y9)-COUNTIFS('MONTHLY CLOSE'!$C$21:$C$90,Y9,'MONTHLY CLOSE'!$H$21:$H$90,"N/A"))),0)</f>
        <v>0.8571428571428571</v>
      </c>
    </row>
    <row r="10" spans="1:26" ht="9.75" customHeight="1" x14ac:dyDescent="0.35">
      <c r="Y10" s="82" t="s">
        <v>100</v>
      </c>
      <c r="Z10" s="83">
        <f>IFERROR(IF((COUNTIF('MONTHLY CLOSE'!$C$21:$C$90,Y10)-COUNTIFS('MONTHLY CLOSE'!$C$21:$C$90,Y10,'MONTHLY CLOSE'!$H$21:$H$90,"N/A"))=0,0,COUNTIFS('MONTHLY CLOSE'!$C$21:$C$90,Y10,'MONTHLY CLOSE'!$H$21:$H$90,"Complete")/(COUNTIF('MONTHLY CLOSE'!$C$21:$C$90,Y10)-COUNTIFS('MONTHLY CLOSE'!$C$21:$C$90,Y10,'MONTHLY CLOSE'!$H$21:$H$90,"N/A"))),0)</f>
        <v>1</v>
      </c>
    </row>
    <row r="11" spans="1:26" ht="3.75" customHeight="1" x14ac:dyDescent="0.35">
      <c r="B11" s="131"/>
      <c r="C11" s="131"/>
      <c r="D11" s="131"/>
      <c r="E11" s="131"/>
      <c r="F11" s="131"/>
      <c r="G11" s="131"/>
      <c r="H11" s="131"/>
      <c r="I11" s="131"/>
      <c r="J11" s="131"/>
      <c r="K11" s="131"/>
      <c r="L11" s="131"/>
      <c r="M11" s="131"/>
      <c r="N11" s="131"/>
      <c r="O11" s="131"/>
      <c r="P11" s="131"/>
      <c r="Q11" s="131"/>
      <c r="R11" s="131"/>
      <c r="S11" s="131"/>
      <c r="T11" s="131"/>
      <c r="U11" s="131"/>
      <c r="V11" s="131"/>
      <c r="Y11" s="82" t="s">
        <v>216</v>
      </c>
      <c r="Z11" s="83">
        <f>IFERROR(IF((COUNTIF('MONTHLY CLOSE'!$C$21:$C$90,Y11)-COUNTIFS('MONTHLY CLOSE'!$C$21:$C$90,Y11,'MONTHLY CLOSE'!$H$21:$H$90,"N/A"))=0,0,COUNTIFS('MONTHLY CLOSE'!$C$21:$C$90,Y11,'MONTHLY CLOSE'!$H$21:$H$90,"Complete")/(COUNTIF('MONTHLY CLOSE'!$C$21:$C$90,Y11)-COUNTIFS('MONTHLY CLOSE'!$C$21:$C$90,Y11,'MONTHLY CLOSE'!$H$21:$H$90,"N/A"))),0)</f>
        <v>1</v>
      </c>
    </row>
    <row r="12" spans="1:26" ht="19.5" customHeight="1" x14ac:dyDescent="0.35">
      <c r="B12" s="132" t="s">
        <v>460</v>
      </c>
      <c r="C12" s="132"/>
      <c r="D12" s="132"/>
      <c r="E12" s="132"/>
      <c r="F12" s="132"/>
      <c r="G12" s="132"/>
      <c r="H12" s="132"/>
      <c r="I12" s="132" t="s">
        <v>461</v>
      </c>
      <c r="J12" s="132"/>
      <c r="K12" s="132"/>
      <c r="L12" s="132"/>
      <c r="M12" s="132"/>
      <c r="N12" s="132"/>
      <c r="O12" s="132"/>
      <c r="P12" s="132" t="s">
        <v>462</v>
      </c>
      <c r="Q12" s="132"/>
      <c r="R12" s="132"/>
      <c r="S12" s="132"/>
      <c r="T12" s="132"/>
      <c r="U12" s="132"/>
      <c r="V12" s="132"/>
      <c r="Y12" s="82" t="s">
        <v>229</v>
      </c>
      <c r="Z12" s="83">
        <f>IFERROR(IF((COUNTIF('MONTHLY CLOSE'!$C$21:$C$90,Y12)-COUNTIFS('MONTHLY CLOSE'!$C$21:$C$90,Y12,'MONTHLY CLOSE'!$H$21:$H$90,"N/A"))=0,0,COUNTIFS('MONTHLY CLOSE'!$C$21:$C$90,Y12,'MONTHLY CLOSE'!$H$21:$H$90,"Complete")/(COUNTIF('MONTHLY CLOSE'!$C$21:$C$90,Y12)-COUNTIFS('MONTHLY CLOSE'!$C$21:$C$90,Y12,'MONTHLY CLOSE'!$H$21:$H$90,"N/A"))),0)</f>
        <v>1</v>
      </c>
    </row>
    <row r="13" spans="1:26" ht="24.75" customHeight="1" x14ac:dyDescent="0.35">
      <c r="B13" s="133">
        <f>'MONTHLY CLOSE'!$D$8</f>
        <v>53</v>
      </c>
      <c r="C13" s="133"/>
      <c r="D13" s="133"/>
      <c r="E13" s="133"/>
      <c r="F13" s="133"/>
      <c r="G13" s="133"/>
      <c r="H13" s="133"/>
      <c r="I13" s="133">
        <f>'MONTHLY CLOSE'!$D$9</f>
        <v>47</v>
      </c>
      <c r="J13" s="133"/>
      <c r="K13" s="133"/>
      <c r="L13" s="133"/>
      <c r="M13" s="133"/>
      <c r="N13" s="133"/>
      <c r="O13" s="133"/>
      <c r="P13" s="133">
        <f>'MONTHLY CLOSE'!$D$13</f>
        <v>5</v>
      </c>
      <c r="Q13" s="133"/>
      <c r="R13" s="133"/>
      <c r="S13" s="133"/>
      <c r="T13" s="133"/>
      <c r="U13" s="133"/>
      <c r="V13" s="133"/>
      <c r="Y13" s="82" t="s">
        <v>103</v>
      </c>
      <c r="Z13" s="83">
        <f>IFERROR(IF((COUNTIF('MONTHLY CLOSE'!$C$21:$C$90,Y13)-COUNTIFS('MONTHLY CLOSE'!$C$21:$C$90,Y13,'MONTHLY CLOSE'!$H$21:$H$90,"N/A"))=0,0,COUNTIFS('MONTHLY CLOSE'!$C$21:$C$90,Y13,'MONTHLY CLOSE'!$H$21:$H$90,"Complete")/(COUNTIF('MONTHLY CLOSE'!$C$21:$C$90,Y13)-COUNTIFS('MONTHLY CLOSE'!$C$21:$C$90,Y13,'MONTHLY CLOSE'!$H$21:$H$90,"N/A"))),0)</f>
        <v>0.875</v>
      </c>
    </row>
    <row r="14" spans="1:26" ht="15" customHeight="1" x14ac:dyDescent="0.35">
      <c r="B14" s="134" t="str">
        <f>IFERROR('MONTHLY CLOSE'!$D$6&amp;" in the checklist, "&amp;'MONTHLY CLOSE'!$D$7&amp;" marked N/A","")</f>
        <v>62 in the checklist, 9 marked N/A</v>
      </c>
      <c r="C14" s="134"/>
      <c r="D14" s="134"/>
      <c r="E14" s="134"/>
      <c r="F14" s="134"/>
      <c r="G14" s="134"/>
      <c r="H14" s="134"/>
      <c r="I14" s="134" t="str">
        <f>IFERROR('MONTHLY CLOSE'!$D$10&amp;" in progress, "&amp;'MONTHLY CLOSE'!$D$12&amp;" not started","")</f>
        <v>3 in progress, 2 not started</v>
      </c>
      <c r="J14" s="134"/>
      <c r="K14" s="134"/>
      <c r="L14" s="134"/>
      <c r="M14" s="134"/>
      <c r="N14" s="134"/>
      <c r="O14" s="134"/>
      <c r="P14" s="134" t="s">
        <v>463</v>
      </c>
      <c r="Q14" s="134"/>
      <c r="R14" s="134"/>
      <c r="S14" s="134"/>
      <c r="T14" s="134"/>
      <c r="U14" s="134"/>
      <c r="V14" s="134"/>
      <c r="Y14" s="82" t="s">
        <v>272</v>
      </c>
      <c r="Z14" s="83">
        <f>IFERROR(IF((COUNTIF('MONTHLY CLOSE'!$C$21:$C$90,Y14)-COUNTIFS('MONTHLY CLOSE'!$C$21:$C$90,Y14,'MONTHLY CLOSE'!$H$21:$H$90,"N/A"))=0,0,COUNTIFS('MONTHLY CLOSE'!$C$21:$C$90,Y14,'MONTHLY CLOSE'!$H$21:$H$90,"Complete")/(COUNTIF('MONTHLY CLOSE'!$C$21:$C$90,Y14)-COUNTIFS('MONTHLY CLOSE'!$C$21:$C$90,Y14,'MONTHLY CLOSE'!$H$21:$H$90,"N/A"))),0)</f>
        <v>0.75</v>
      </c>
    </row>
    <row r="15" spans="1:26" ht="7.5" customHeight="1" x14ac:dyDescent="0.35"/>
    <row r="16" spans="1:26" ht="3.75" customHeight="1" x14ac:dyDescent="0.35">
      <c r="B16" s="126"/>
      <c r="C16" s="126"/>
      <c r="D16" s="126"/>
      <c r="E16" s="126"/>
      <c r="F16" s="126"/>
      <c r="G16" s="126"/>
      <c r="H16" s="126"/>
      <c r="I16" s="126"/>
      <c r="J16" s="126"/>
      <c r="K16" s="126"/>
      <c r="L16" s="126"/>
      <c r="M16" s="126"/>
      <c r="N16" s="126"/>
      <c r="O16" s="126"/>
      <c r="P16" s="126"/>
      <c r="Q16" s="126"/>
      <c r="R16" s="126"/>
      <c r="S16" s="126"/>
      <c r="T16" s="126"/>
      <c r="U16" s="126"/>
      <c r="V16" s="126"/>
    </row>
    <row r="17" spans="2:27" ht="19.5" customHeight="1" x14ac:dyDescent="0.35">
      <c r="B17" s="132" t="s">
        <v>464</v>
      </c>
      <c r="C17" s="132"/>
      <c r="D17" s="132"/>
      <c r="E17" s="132"/>
      <c r="F17" s="132"/>
      <c r="G17" s="132"/>
      <c r="H17" s="132"/>
      <c r="I17" s="132" t="s">
        <v>465</v>
      </c>
      <c r="J17" s="132"/>
      <c r="K17" s="132"/>
      <c r="L17" s="132"/>
      <c r="M17" s="132"/>
      <c r="N17" s="132"/>
      <c r="O17" s="132"/>
      <c r="P17" s="132" t="s">
        <v>466</v>
      </c>
      <c r="Q17" s="132"/>
      <c r="R17" s="132"/>
      <c r="S17" s="132"/>
      <c r="T17" s="132"/>
      <c r="U17" s="132"/>
      <c r="V17" s="132"/>
      <c r="Y17" s="82" t="str">
        <f>IFERROR(INDEX('CLOSE HISTORY'!$B$16:$B$27,1),"")</f>
        <v>Jul 2025</v>
      </c>
      <c r="Z17" s="86">
        <f>IFERROR(INDEX('CLOSE HISTORY'!$F$16:$F$27,1),"")</f>
        <v>11</v>
      </c>
      <c r="AA17" s="86">
        <f>IFERROR(IF(N('CLOSE SETUP'!$C$15)&lt;=0,"",'CLOSE SETUP'!$C$15),"")</f>
        <v>8</v>
      </c>
    </row>
    <row r="18" spans="2:27" ht="24.75" customHeight="1" x14ac:dyDescent="0.35">
      <c r="B18" s="133">
        <f>'MONTHLY CLOSE'!$D$11</f>
        <v>1</v>
      </c>
      <c r="C18" s="133"/>
      <c r="D18" s="133"/>
      <c r="E18" s="133"/>
      <c r="F18" s="133"/>
      <c r="G18" s="133"/>
      <c r="H18" s="133"/>
      <c r="I18" s="133">
        <f>'OPEN ITEMS'!$E$6</f>
        <v>6</v>
      </c>
      <c r="J18" s="133"/>
      <c r="K18" s="133"/>
      <c r="L18" s="133"/>
      <c r="M18" s="133"/>
      <c r="N18" s="133"/>
      <c r="O18" s="133"/>
      <c r="P18" s="135">
        <f>'CLOSE HISTORY'!$D$7</f>
        <v>8</v>
      </c>
      <c r="Q18" s="135"/>
      <c r="R18" s="135"/>
      <c r="S18" s="135"/>
      <c r="T18" s="135"/>
      <c r="U18" s="135"/>
      <c r="V18" s="135"/>
      <c r="Y18" s="82" t="str">
        <f>IFERROR(INDEX('CLOSE HISTORY'!$B$16:$B$27,2),"")</f>
        <v>Aug 2025</v>
      </c>
      <c r="Z18" s="86">
        <f>IFERROR(INDEX('CLOSE HISTORY'!$F$16:$F$27,2),"")</f>
        <v>9</v>
      </c>
      <c r="AA18" s="86">
        <f>IFERROR(IF(N('CLOSE SETUP'!$C$15)&lt;=0,"",'CLOSE SETUP'!$C$15),"")</f>
        <v>8</v>
      </c>
    </row>
    <row r="19" spans="2:27" ht="15" customHeight="1" x14ac:dyDescent="0.35">
      <c r="B19" s="134" t="s">
        <v>467</v>
      </c>
      <c r="C19" s="134"/>
      <c r="D19" s="134"/>
      <c r="E19" s="134"/>
      <c r="F19" s="134"/>
      <c r="G19" s="134"/>
      <c r="H19" s="134"/>
      <c r="I19" s="134" t="str">
        <f ca="1">IFERROR('OPEN ITEMS'!$E$7&amp;" high priority, "&amp;'OPEN ITEMS'!$E$8&amp;" past target date","")</f>
        <v>2 high priority, 1 past target date</v>
      </c>
      <c r="J19" s="134"/>
      <c r="K19" s="134"/>
      <c r="L19" s="134"/>
      <c r="M19" s="134"/>
      <c r="N19" s="134"/>
      <c r="O19" s="134"/>
      <c r="P19" s="134" t="str">
        <f>IFERROR("most recent close · your target is "&amp;TEXT('CLOSE SETUP'!$C$15,"0")&amp;" days","")</f>
        <v>most recent close · your target is 8 days</v>
      </c>
      <c r="Q19" s="134"/>
      <c r="R19" s="134"/>
      <c r="S19" s="134"/>
      <c r="T19" s="134"/>
      <c r="U19" s="134"/>
      <c r="V19" s="134"/>
      <c r="Y19" s="82" t="str">
        <f>IFERROR(INDEX('CLOSE HISTORY'!$B$16:$B$27,3),"")</f>
        <v>Sep 2025</v>
      </c>
      <c r="Z19" s="86">
        <f>IFERROR(INDEX('CLOSE HISTORY'!$F$16:$F$27,3),"")</f>
        <v>8</v>
      </c>
      <c r="AA19" s="86">
        <f>IFERROR(IF(N('CLOSE SETUP'!$C$15)&lt;=0,"",'CLOSE SETUP'!$C$15),"")</f>
        <v>8</v>
      </c>
    </row>
    <row r="20" spans="2:27" ht="9.75" customHeight="1" x14ac:dyDescent="0.35">
      <c r="Y20" s="82" t="str">
        <f>IFERROR(INDEX('CLOSE HISTORY'!$B$16:$B$27,4),"")</f>
        <v>Oct 2025</v>
      </c>
      <c r="Z20" s="86">
        <f>IFERROR(INDEX('CLOSE HISTORY'!$F$16:$F$27,4),"")</f>
        <v>10</v>
      </c>
      <c r="AA20" s="86">
        <f>IFERROR(IF(N('CLOSE SETUP'!$C$15)&lt;=0,"",'CLOSE SETUP'!$C$15),"")</f>
        <v>8</v>
      </c>
    </row>
    <row r="21" spans="2:27" ht="21.75" customHeight="1" x14ac:dyDescent="0.35">
      <c r="B21" s="136" t="str">
        <f>IFERROR("PART 2 — UNDERSTAND THE NUMBERS:   owner review is "&amp;IF('OWNER REVIEW'!$C$7="","not started",LOWER('OWNER REVIEW'!$C$7))&amp;".   Review date: "&amp;TEXT('CLOSE SETUP'!$C$18,"mmm d, yyyy")&amp;".   Completed in "&amp;'CLOSE HISTORY'!$D$11&amp;" of the last 12 months.","")</f>
        <v>PART 2 — UNDERSTAND THE NUMBERS:   owner review is in progress.   Review date: Aug 12, 2026.   Completed in 10 of the last 12 months.</v>
      </c>
      <c r="C21" s="136"/>
      <c r="D21" s="136"/>
      <c r="E21" s="136"/>
      <c r="F21" s="136"/>
      <c r="G21" s="136"/>
      <c r="H21" s="136"/>
      <c r="I21" s="136"/>
      <c r="J21" s="136"/>
      <c r="K21" s="136"/>
      <c r="L21" s="136"/>
      <c r="M21" s="136"/>
      <c r="N21" s="136"/>
      <c r="O21" s="136"/>
      <c r="P21" s="136"/>
      <c r="Q21" s="136"/>
      <c r="R21" s="136"/>
      <c r="S21" s="136"/>
      <c r="T21" s="136"/>
      <c r="U21" s="136"/>
      <c r="V21" s="136"/>
      <c r="Y21" s="82" t="str">
        <f>IFERROR(INDEX('CLOSE HISTORY'!$B$16:$B$27,5),"")</f>
        <v>Nov 2025</v>
      </c>
      <c r="Z21" s="86">
        <f>IFERROR(INDEX('CLOSE HISTORY'!$F$16:$F$27,5),"")</f>
        <v>7</v>
      </c>
      <c r="AA21" s="86">
        <f>IFERROR(IF(N('CLOSE SETUP'!$C$15)&lt;=0,"",'CLOSE SETUP'!$C$15),"")</f>
        <v>8</v>
      </c>
    </row>
    <row r="22" spans="2:27" ht="9.75" customHeight="1" x14ac:dyDescent="0.35">
      <c r="Y22" s="82" t="str">
        <f>IFERROR(INDEX('CLOSE HISTORY'!$B$16:$B$27,6),"")</f>
        <v>Dec 2025</v>
      </c>
      <c r="Z22" s="86">
        <f>IFERROR(INDEX('CLOSE HISTORY'!$F$16:$F$27,6),"")</f>
        <v>9</v>
      </c>
      <c r="AA22" s="86">
        <f>IFERROR(IF(N('CLOSE SETUP'!$C$15)&lt;=0,"",'CLOSE SETUP'!$C$15),"")</f>
        <v>8</v>
      </c>
    </row>
    <row r="23" spans="2:27" ht="18.75" customHeight="1" x14ac:dyDescent="0.35">
      <c r="B23" s="137" t="s">
        <v>468</v>
      </c>
      <c r="C23" s="137"/>
      <c r="D23" s="137"/>
      <c r="E23" s="137"/>
      <c r="F23" s="137"/>
      <c r="G23" s="137"/>
      <c r="H23" s="137"/>
      <c r="I23" s="137"/>
      <c r="J23" s="137"/>
      <c r="K23" s="137"/>
      <c r="L23" s="137" t="str">
        <f>IFERROR("2.  Calendar Days to Close  —  your target is "&amp;TEXT('CLOSE SETUP'!$C$15,"0")&amp;" calendar days","2.  Calendar Days to Close")</f>
        <v>2.  Calendar Days to Close  —  your target is 8 calendar days</v>
      </c>
      <c r="M23" s="137"/>
      <c r="N23" s="137"/>
      <c r="O23" s="137"/>
      <c r="P23" s="137"/>
      <c r="Q23" s="137"/>
      <c r="R23" s="137"/>
      <c r="S23" s="137"/>
      <c r="T23" s="137"/>
      <c r="U23" s="137"/>
      <c r="V23" s="137"/>
      <c r="Y23" s="82" t="str">
        <f>IFERROR(INDEX('CLOSE HISTORY'!$B$16:$B$27,7),"")</f>
        <v>Jan 2026</v>
      </c>
      <c r="Z23" s="86">
        <f>IFERROR(INDEX('CLOSE HISTORY'!$F$16:$F$27,7),"")</f>
        <v>8</v>
      </c>
      <c r="AA23" s="86">
        <f>IFERROR(IF(N('CLOSE SETUP'!$C$15)&lt;=0,"",'CLOSE SETUP'!$C$15),"")</f>
        <v>8</v>
      </c>
    </row>
    <row r="24" spans="2:27" x14ac:dyDescent="0.35">
      <c r="Y24" s="82" t="str">
        <f>IFERROR(INDEX('CLOSE HISTORY'!$B$16:$B$27,8),"")</f>
        <v>Feb 2026</v>
      </c>
      <c r="Z24" s="86">
        <f>IFERROR(INDEX('CLOSE HISTORY'!$F$16:$F$27,8),"")</f>
        <v>12</v>
      </c>
      <c r="AA24" s="86">
        <f>IFERROR(IF(N('CLOSE SETUP'!$C$15)&lt;=0,"",'CLOSE SETUP'!$C$15),"")</f>
        <v>8</v>
      </c>
    </row>
    <row r="25" spans="2:27" x14ac:dyDescent="0.35">
      <c r="Y25" s="82" t="str">
        <f>IFERROR(INDEX('CLOSE HISTORY'!$B$16:$B$27,9),"")</f>
        <v>Mar 2026</v>
      </c>
      <c r="Z25" s="86">
        <f>IFERROR(INDEX('CLOSE HISTORY'!$F$16:$F$27,9),"")</f>
        <v>8</v>
      </c>
      <c r="AA25" s="86">
        <f>IFERROR(IF(N('CLOSE SETUP'!$C$15)&lt;=0,"",'CLOSE SETUP'!$C$15),"")</f>
        <v>8</v>
      </c>
    </row>
    <row r="26" spans="2:27" x14ac:dyDescent="0.35">
      <c r="Y26" s="82" t="str">
        <f>IFERROR(INDEX('CLOSE HISTORY'!$B$16:$B$27,10),"")</f>
        <v>Apr 2026</v>
      </c>
      <c r="Z26" s="86">
        <f>IFERROR(INDEX('CLOSE HISTORY'!$F$16:$F$27,10),"")</f>
        <v>7</v>
      </c>
      <c r="AA26" s="86">
        <f>IFERROR(IF(N('CLOSE SETUP'!$C$15)&lt;=0,"",'CLOSE SETUP'!$C$15),"")</f>
        <v>8</v>
      </c>
    </row>
    <row r="27" spans="2:27" x14ac:dyDescent="0.35">
      <c r="Y27" s="82" t="str">
        <f>IFERROR(INDEX('CLOSE HISTORY'!$B$16:$B$27,11),"")</f>
        <v>May 2026</v>
      </c>
      <c r="Z27" s="86">
        <f>IFERROR(INDEX('CLOSE HISTORY'!$F$16:$F$27,11),"")</f>
        <v>9</v>
      </c>
      <c r="AA27" s="86">
        <f>IFERROR(IF(N('CLOSE SETUP'!$C$15)&lt;=0,"",'CLOSE SETUP'!$C$15),"")</f>
        <v>8</v>
      </c>
    </row>
    <row r="28" spans="2:27" x14ac:dyDescent="0.35">
      <c r="Y28" s="82" t="str">
        <f>IFERROR(INDEX('CLOSE HISTORY'!$B$16:$B$27,12),"")</f>
        <v>Jun 2026</v>
      </c>
      <c r="Z28" s="86">
        <f>IFERROR(INDEX('CLOSE HISTORY'!$F$16:$F$27,12),"")</f>
        <v>8</v>
      </c>
      <c r="AA28" s="86">
        <f>IFERROR(IF(N('CLOSE SETUP'!$C$15)&lt;=0,"",'CLOSE SETUP'!$C$15),"")</f>
        <v>8</v>
      </c>
    </row>
    <row r="40" spans="2:22" ht="7.5" customHeight="1" x14ac:dyDescent="0.35"/>
    <row r="41" spans="2:22" ht="21" customHeight="1" x14ac:dyDescent="0.35">
      <c r="B41" s="138" t="s">
        <v>469</v>
      </c>
      <c r="C41" s="138"/>
      <c r="D41" s="138"/>
      <c r="E41" s="138"/>
      <c r="F41" s="138"/>
      <c r="G41" s="138"/>
      <c r="H41" s="138"/>
      <c r="I41" s="138"/>
      <c r="J41" s="138"/>
      <c r="K41" s="138"/>
      <c r="L41" s="138"/>
      <c r="M41" s="138"/>
      <c r="N41" s="138"/>
      <c r="O41" s="138"/>
      <c r="P41" s="138"/>
      <c r="Q41" s="138"/>
      <c r="R41" s="138"/>
      <c r="S41" s="138"/>
      <c r="T41" s="138"/>
      <c r="U41" s="138"/>
      <c r="V41" s="138"/>
    </row>
    <row r="42" spans="2:22" ht="15.75" customHeight="1" x14ac:dyDescent="0.35">
      <c r="B42" s="87" t="s">
        <v>470</v>
      </c>
      <c r="C42" s="139" t="str">
        <f>IFERROR(IF('MONTHLY CLOSE'!$D$8=0,"No applicable close tasks are set up yet — mark a status against each task on the MONTHLY CLOSE tab.",IF('MONTHLY CLOSE'!$D$15="Close Not Started","The close has not been started yet: none of the "&amp;'MONTHLY CLOSE'!$D$8&amp;" applicable tasks are marked complete.",TEXT('MONTHLY CLOSE'!$D$14,"0%")&amp;" of the "&amp;'MONTHLY CLOSE'!$D$8&amp;" applicable close tasks are marked complete, with "&amp;'MONTHLY CLOSE'!$D$13&amp;" still outstanding and "&amp;'MONTHLY CLOSE'!$D$7&amp;" marked N/A.")),"")</f>
        <v>89% of the 53 applicable close tasks are marked complete, with 5 still outstanding and 9 marked N/A.</v>
      </c>
      <c r="D42" s="139"/>
      <c r="E42" s="139"/>
      <c r="F42" s="139"/>
      <c r="G42" s="139"/>
      <c r="H42" s="139"/>
      <c r="I42" s="139"/>
      <c r="J42" s="139"/>
      <c r="K42" s="139"/>
      <c r="L42" s="139"/>
      <c r="M42" s="139"/>
      <c r="N42" s="139"/>
      <c r="O42" s="139"/>
      <c r="P42" s="139"/>
      <c r="Q42" s="139"/>
      <c r="R42" s="139"/>
      <c r="S42" s="139"/>
      <c r="T42" s="139"/>
      <c r="U42" s="139"/>
      <c r="V42" s="139"/>
    </row>
    <row r="43" spans="2:22" ht="15.75" customHeight="1" x14ac:dyDescent="0.35">
      <c r="B43" s="88" t="s">
        <v>470</v>
      </c>
      <c r="C43" s="140" t="str">
        <f>IFERROR(IF('MONTHLY CLOSE'!$D$11=0,"No close tasks are currently flagged as Needs Review.",'MONTHLY CLOSE'!$D$11&amp;IF('MONTHLY CLOSE'!$D$11=1," close task is"," close tasks are")&amp;" flagged as Needs Review, and "&amp;IF('MONTHLY CLOSE'!$D$11=1,"stays","stay")&amp;" outside the completed count until resolved."),"")</f>
        <v>1 close task is flagged as Needs Review, and stays outside the completed count until resolved.</v>
      </c>
      <c r="D43" s="140"/>
      <c r="E43" s="140"/>
      <c r="F43" s="140"/>
      <c r="G43" s="140"/>
      <c r="H43" s="140"/>
      <c r="I43" s="140"/>
      <c r="J43" s="140"/>
      <c r="K43" s="140"/>
      <c r="L43" s="140"/>
      <c r="M43" s="140"/>
      <c r="N43" s="140"/>
      <c r="O43" s="140"/>
      <c r="P43" s="140"/>
      <c r="Q43" s="140"/>
      <c r="R43" s="140"/>
      <c r="S43" s="140"/>
      <c r="T43" s="140"/>
      <c r="U43" s="140"/>
      <c r="V43" s="140"/>
    </row>
    <row r="44" spans="2:22" ht="15.75" customHeight="1" x14ac:dyDescent="0.35">
      <c r="B44" s="87" t="s">
        <v>470</v>
      </c>
      <c r="C44" s="139" t="str">
        <f ca="1">IFERROR(IF('OPEN ITEMS'!$E$6=0,"There are no unresolved open items from this close.",'OPEN ITEMS'!$E$6&amp;IF('OPEN ITEMS'!$E$6=1," open item remains"," open items remain")&amp;", of which "&amp;'OPEN ITEMS'!$E$7&amp;IF('OPEN ITEMS'!$E$7=1," is"," are")&amp;" marked high priority and "&amp;'OPEN ITEMS'!$E$8&amp;IF('OPEN ITEMS'!$E$8=1," is"," are")&amp;" past the target resolution date."),"")</f>
        <v>6 open items remain, of which 2 are marked high priority and 1 is past the target resolution date.</v>
      </c>
      <c r="D44" s="139"/>
      <c r="E44" s="139"/>
      <c r="F44" s="139"/>
      <c r="G44" s="139"/>
      <c r="H44" s="139"/>
      <c r="I44" s="139"/>
      <c r="J44" s="139"/>
      <c r="K44" s="139"/>
      <c r="L44" s="139"/>
      <c r="M44" s="139"/>
      <c r="N44" s="139"/>
      <c r="O44" s="139"/>
      <c r="P44" s="139"/>
      <c r="Q44" s="139"/>
      <c r="R44" s="139"/>
      <c r="S44" s="139"/>
      <c r="T44" s="139"/>
      <c r="U44" s="139"/>
      <c r="V44" s="139"/>
    </row>
    <row r="45" spans="2:22" ht="15.75" customHeight="1" x14ac:dyDescent="0.35">
      <c r="B45" s="88" t="s">
        <v>470</v>
      </c>
      <c r="C45" s="140" t="str">
        <f>IFERROR(IF(OR(NOT(ISNUMBER('CLOSE HISTORY'!$D$7)),NOT(ISNUMBER('CLOSE SETUP'!$C$15)),'CLOSE SETUP'!$C$15&lt;=0),"Enter close dates on the CLOSE HISTORY tab, and a target on CLOSE SETUP, to compare close timing against your own target.","The most recent close took "&amp;TEXT('CLOSE HISTORY'!$D$7,"0")&amp;" calendar days, compared with your own target of "&amp;TEXT('CLOSE SETUP'!$C$15,"0")&amp;" days and a twelve-month average of "&amp;TEXT('CLOSE HISTORY'!$D$8,"0.0")&amp;" days."),"")</f>
        <v>The most recent close took 8 calendar days, compared with your own target of 8 days and a twelve-month average of 8.8 days.</v>
      </c>
      <c r="D45" s="140"/>
      <c r="E45" s="140"/>
      <c r="F45" s="140"/>
      <c r="G45" s="140"/>
      <c r="H45" s="140"/>
      <c r="I45" s="140"/>
      <c r="J45" s="140"/>
      <c r="K45" s="140"/>
      <c r="L45" s="140"/>
      <c r="M45" s="140"/>
      <c r="N45" s="140"/>
      <c r="O45" s="140"/>
      <c r="P45" s="140"/>
      <c r="Q45" s="140"/>
      <c r="R45" s="140"/>
      <c r="S45" s="140"/>
      <c r="T45" s="140"/>
      <c r="U45" s="140"/>
      <c r="V45" s="140"/>
    </row>
    <row r="46" spans="2:22" ht="15.75" customHeight="1" x14ac:dyDescent="0.35">
      <c r="B46" s="87" t="s">
        <v>470</v>
      </c>
      <c r="C46" s="139" t="str">
        <f>IFERROR(IF(OR(NOT(ISNUMBER('OWNER REVIEW'!$C$12)),'OWNER REVIEW'!$C$12=0),"Enter the current month figures on the OWNER REVIEW tab to see how the month performed.","Revenue for the month was "&amp;TEXT('OWNER REVIEW'!$C$12,"$#,##0")&amp;" at a "&amp;TEXT('OWNER REVIEW'!$C$14,"0.0%")&amp;" gross margin, producing "&amp;TEXT('OWNER REVIEW'!$C$15,"$#,##0")&amp;" of operating profit ("&amp;TEXT('OWNER REVIEW'!$C$16,"0.0%")&amp;" operating margin)."),"")</f>
        <v>Revenue for the month was $158,000 at a 51.9% gross margin, producing $14,200 of operating profit (9.0% operating margin).</v>
      </c>
      <c r="D46" s="139"/>
      <c r="E46" s="139"/>
      <c r="F46" s="139"/>
      <c r="G46" s="139"/>
      <c r="H46" s="139"/>
      <c r="I46" s="139"/>
      <c r="J46" s="139"/>
      <c r="K46" s="139"/>
      <c r="L46" s="139"/>
      <c r="M46" s="139"/>
      <c r="N46" s="139"/>
      <c r="O46" s="139"/>
      <c r="P46" s="139"/>
      <c r="Q46" s="139"/>
      <c r="R46" s="139"/>
      <c r="S46" s="139"/>
      <c r="T46" s="139"/>
      <c r="U46" s="139"/>
      <c r="V46" s="139"/>
    </row>
    <row r="47" spans="2:22" ht="15.75" customHeight="1" x14ac:dyDescent="0.35">
      <c r="B47" s="89" t="s">
        <v>470</v>
      </c>
      <c r="C47" s="141" t="str">
        <f>IFERROR(IF(NOT(ISNUMBER('OWNER REVIEW'!$C$30)),"Enter opening and closing cash on the OWNER REVIEW tab to see the movement in cash.",IF('OWNER REVIEW'!$C$30=0,"Cash was unchanged over the month","Cash "&amp;IF('OWNER REVIEW'!$C$30&gt;0,"increased ","decreased ")&amp;"by "&amp;TEXT(ABS('OWNER REVIEW'!$C$30),"$#,##0")&amp;" during the month")&amp;", while accounts receivable ended at "&amp;TEXT('OWNER REVIEW'!$C$44,"$#,##0")&amp;"."),"")</f>
        <v>Cash decreased by $12,500 during the month, while accounts receivable ended at $96,000.</v>
      </c>
      <c r="D47" s="141"/>
      <c r="E47" s="141"/>
      <c r="F47" s="141"/>
      <c r="G47" s="141"/>
      <c r="H47" s="141"/>
      <c r="I47" s="141"/>
      <c r="J47" s="141"/>
      <c r="K47" s="141"/>
      <c r="L47" s="141"/>
      <c r="M47" s="141"/>
      <c r="N47" s="141"/>
      <c r="O47" s="141"/>
      <c r="P47" s="141"/>
      <c r="Q47" s="141"/>
      <c r="R47" s="141"/>
      <c r="S47" s="141"/>
      <c r="T47" s="141"/>
      <c r="U47" s="141"/>
      <c r="V47" s="141"/>
    </row>
    <row r="49" spans="2:22" ht="21.75" customHeight="1" x14ac:dyDescent="0.35">
      <c r="B49" s="142" t="s">
        <v>471</v>
      </c>
      <c r="C49" s="142"/>
      <c r="D49" s="142"/>
      <c r="E49" s="142"/>
      <c r="F49" s="142"/>
      <c r="G49" s="142"/>
      <c r="H49" s="142"/>
      <c r="I49" s="142"/>
      <c r="J49" s="142"/>
      <c r="K49" s="142"/>
      <c r="L49" s="142"/>
      <c r="M49" s="142"/>
      <c r="N49" s="142"/>
      <c r="O49" s="142"/>
      <c r="P49" s="142"/>
      <c r="Q49" s="142"/>
      <c r="R49" s="142"/>
      <c r="S49" s="142"/>
      <c r="T49" s="142"/>
      <c r="U49" s="142"/>
      <c r="V49" s="142"/>
    </row>
    <row r="51" spans="2:22" ht="55" customHeight="1" x14ac:dyDescent="0.35">
      <c r="B51" s="143" t="s">
        <v>472</v>
      </c>
      <c r="C51" s="143"/>
      <c r="D51" s="143"/>
      <c r="E51" s="143"/>
      <c r="F51" s="143"/>
      <c r="G51" s="143"/>
      <c r="H51" s="143"/>
      <c r="I51" s="143"/>
      <c r="J51" s="143"/>
      <c r="K51" s="143"/>
      <c r="L51" s="143"/>
      <c r="M51" s="143"/>
      <c r="N51" s="143"/>
      <c r="O51" s="143"/>
      <c r="P51" s="143"/>
      <c r="Q51" s="143"/>
      <c r="R51" s="143"/>
      <c r="S51" s="143"/>
      <c r="T51" s="143"/>
      <c r="U51" s="143"/>
      <c r="V51" s="143"/>
    </row>
    <row r="52" spans="2:22" ht="19.5" customHeight="1" x14ac:dyDescent="0.35">
      <c r="B52" s="144" t="s">
        <v>473</v>
      </c>
      <c r="C52" s="144"/>
      <c r="D52" s="144"/>
      <c r="E52" s="144"/>
      <c r="F52" s="144"/>
      <c r="G52" s="144"/>
      <c r="H52" s="144"/>
      <c r="I52" s="144"/>
      <c r="J52" s="144"/>
      <c r="K52" s="144"/>
      <c r="L52" s="144"/>
      <c r="M52" s="144"/>
      <c r="N52" s="144"/>
      <c r="O52" s="144"/>
      <c r="P52" s="144"/>
      <c r="Q52" s="144"/>
      <c r="R52" s="144"/>
      <c r="S52" s="144"/>
      <c r="T52" s="144"/>
      <c r="U52" s="144"/>
      <c r="V52" s="144"/>
    </row>
  </sheetData>
  <sheetProtection sheet="1" formatCells="0" sort="0" autoFilter="0"/>
  <mergeCells count="49">
    <mergeCell ref="B49:V49"/>
    <mergeCell ref="B51:V51"/>
    <mergeCell ref="B52:V52"/>
    <mergeCell ref="C43:V43"/>
    <mergeCell ref="C44:V44"/>
    <mergeCell ref="C45:V45"/>
    <mergeCell ref="C46:V46"/>
    <mergeCell ref="C47:V47"/>
    <mergeCell ref="B21:V21"/>
    <mergeCell ref="B23:K23"/>
    <mergeCell ref="L23:V23"/>
    <mergeCell ref="B41:V41"/>
    <mergeCell ref="C42:V42"/>
    <mergeCell ref="B18:H18"/>
    <mergeCell ref="I18:O18"/>
    <mergeCell ref="P18:V18"/>
    <mergeCell ref="B19:H19"/>
    <mergeCell ref="I19:O19"/>
    <mergeCell ref="P19:V19"/>
    <mergeCell ref="B16:H16"/>
    <mergeCell ref="I16:O16"/>
    <mergeCell ref="P16:V16"/>
    <mergeCell ref="B17:H17"/>
    <mergeCell ref="I17:O17"/>
    <mergeCell ref="P17:V17"/>
    <mergeCell ref="B13:H13"/>
    <mergeCell ref="I13:O13"/>
    <mergeCell ref="P13:V13"/>
    <mergeCell ref="B14:H14"/>
    <mergeCell ref="I14:O14"/>
    <mergeCell ref="P14:V14"/>
    <mergeCell ref="B11:H11"/>
    <mergeCell ref="I11:O11"/>
    <mergeCell ref="P11:V11"/>
    <mergeCell ref="B12:H12"/>
    <mergeCell ref="I12:O12"/>
    <mergeCell ref="P12:V12"/>
    <mergeCell ref="B6:M6"/>
    <mergeCell ref="N6:V6"/>
    <mergeCell ref="B7:M7"/>
    <mergeCell ref="N7:V7"/>
    <mergeCell ref="B9:M9"/>
    <mergeCell ref="N9:V9"/>
    <mergeCell ref="B1:V1"/>
    <mergeCell ref="B2:M2"/>
    <mergeCell ref="N2:V2"/>
    <mergeCell ref="B3:V3"/>
    <mergeCell ref="B5:M5"/>
    <mergeCell ref="N5:V5"/>
  </mergeCells>
  <conditionalFormatting sqref="B5:M5">
    <cfRule type="expression" dxfId="3" priority="2">
      <formula>$B$7="Ready for Owner Review"</formula>
    </cfRule>
    <cfRule type="expression" dxfId="2" priority="3">
      <formula>$B$7="Close In Progress"</formula>
    </cfRule>
    <cfRule type="expression" dxfId="1" priority="4">
      <formula>$B$7="Review Required"</formula>
    </cfRule>
    <cfRule type="expression" dxfId="0" priority="5">
      <formula>$B$7="Close Not Started"</formula>
    </cfRule>
  </conditionalFormatting>
  <pageMargins left="0.3" right="0.3" top="0.35" bottom="0.35" header="0.511811023622047" footer="0.511811023622047"/>
  <pageSetup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START HERE</vt:lpstr>
      <vt:lpstr>CLOSE SETUP</vt:lpstr>
      <vt:lpstr>MONTHLY CLOSE</vt:lpstr>
      <vt:lpstr>OWNER REVIEW</vt:lpstr>
      <vt:lpstr>OPEN ITEMS</vt:lpstr>
      <vt:lpstr>CLOSE HISTORY</vt:lpstr>
      <vt:lpstr>EXECUTIVE DASHBOARD</vt:lpstr>
      <vt:lpstr>CategoryList</vt:lpstr>
      <vt:lpstr>OwnerList</vt:lpstr>
      <vt:lpstr>'CLOSE HISTORY'!Print_Area</vt:lpstr>
      <vt:lpstr>'CLOSE SETUP'!Print_Area</vt:lpstr>
      <vt:lpstr>'EXECUTIVE DASHBOARD'!Print_Area</vt:lpstr>
      <vt:lpstr>'MONTHLY CLOSE'!Print_Area</vt:lpstr>
      <vt:lpstr>'OPEN ITEMS'!Print_Area</vt:lpstr>
      <vt:lpstr>'OWNER REVIEW'!Print_Area</vt:lpstr>
      <vt:lpstr>'START HERE'!Print_Area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Close Checklist for Business Owners</dc:title>
  <dc:subject>Month-end close process for owner-led businesses</dc:subject>
  <dc:creator>Vertex Strategic Finance</dc:creator>
  <cp:keywords>monthly close month-end bookkeeping financial review</cp:keywords>
  <dc:description>Free resource from Vertex Strategic Finance. All sample data is fictional and provided for illustration and planning purposes only.</dc:description>
  <cp:lastModifiedBy>Senthuran Selvanathan</cp:lastModifiedBy>
  <cp:revision>1</cp:revision>
  <dcterms:created xsi:type="dcterms:W3CDTF">2026-08-30T02:40:39Z</dcterms:created>
  <dcterms:modified xsi:type="dcterms:W3CDTF">2026-08-30T02:45:28Z</dcterms:modified>
  <dc:language>en-US</dc:language>
</cp:coreProperties>
</file>